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aaudk-my.sharepoint.com/personal/omj_sbi_aau_dk/Documents/Dokumenter/REGNEARK/Basis boliger/2024/"/>
    </mc:Choice>
  </mc:AlternateContent>
  <xr:revisionPtr revIDLastSave="0" documentId="8_{C28FB438-BA0C-4292-94BB-ACC8AF6F9E61}" xr6:coauthVersionLast="47" xr6:coauthVersionMax="47" xr10:uidLastSave="{00000000-0000-0000-0000-000000000000}"/>
  <bookViews>
    <workbookView xWindow="-108" yWindow="-108" windowWidth="30936" windowHeight="16776" tabRatio="851" xr2:uid="{00000000-000D-0000-FFFF-FFFF00000000}"/>
  </bookViews>
  <sheets>
    <sheet name="Indtastningsark" sheetId="1" r:id="rId1"/>
    <sheet name="BASIS-regneark" sheetId="2" r:id="rId2"/>
    <sheet name="BASIS-diagrammer" sheetId="3" r:id="rId3"/>
    <sheet name="Indtastningsark-X" sheetId="4" r:id="rId4"/>
    <sheet name="BASIS-X-regneark " sheetId="5" r:id="rId5"/>
    <sheet name="BASIS-X-diagrammer" sheetId="6" r:id="rId6"/>
    <sheet name="Graddage mv." sheetId="8" r:id="rId7"/>
    <sheet name="CO2-el" sheetId="10" r:id="rId8"/>
    <sheet name="CO2-fjernvarme" sheetId="9" r:id="rId9"/>
  </sheets>
  <definedNames>
    <definedName name="_xlnm.Print_Area" localSheetId="2">'BASIS-diagrammer'!$B$1:$K$49</definedName>
    <definedName name="_xlnm.Print_Area" localSheetId="1">'BASIS-regneark'!$A$1:$H$64</definedName>
    <definedName name="_xlnm.Print_Area" localSheetId="5">'BASIS-X-diagrammer'!$A$1:$J$49</definedName>
    <definedName name="_xlnm.Print_Area" localSheetId="4">'BASIS-X-regneark '!$A$1:$H$61</definedName>
    <definedName name="_xlnm.Print_Area" localSheetId="6">'Graddage mv.'!$A$1:$R$32</definedName>
    <definedName name="_xlnm.Print_Area" localSheetId="0">Indtastningsark!$A$1:$J$66</definedName>
    <definedName name="_xlnm.Print_Area" localSheetId="3">'Indtastningsark-X'!$A$1:$J$52</definedName>
    <definedName name="Udskriftsområde_MI" localSheetId="1">'BASIS-regneark'!$A$1:$I$113</definedName>
    <definedName name="Udskriftsområde_MI" localSheetId="4">'BASIS-X-regneark '!$A$1:$I$110</definedName>
    <definedName name="Udskriftsområde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9" l="1"/>
  <c r="O4" i="9" s="1"/>
  <c r="P4" i="9" s="1"/>
  <c r="Q4" i="9" s="1"/>
  <c r="R4" i="9" s="1"/>
  <c r="S4" i="9" s="1"/>
  <c r="T4" i="9" s="1"/>
  <c r="U4" i="9" s="1"/>
  <c r="D23" i="5"/>
  <c r="E23" i="5"/>
  <c r="F23" i="5"/>
  <c r="G23" i="5"/>
  <c r="H23" i="5"/>
  <c r="C23" i="5"/>
  <c r="D20" i="5"/>
  <c r="E20" i="5"/>
  <c r="F20" i="5"/>
  <c r="G20" i="5"/>
  <c r="H20" i="5"/>
  <c r="C20" i="5"/>
  <c r="D36" i="2"/>
  <c r="E36" i="2"/>
  <c r="F36" i="2"/>
  <c r="G36" i="2"/>
  <c r="H36" i="2"/>
  <c r="C36" i="2"/>
  <c r="D31" i="5"/>
  <c r="E31" i="5"/>
  <c r="D29" i="5"/>
  <c r="E29" i="5"/>
  <c r="F29" i="5"/>
  <c r="G29" i="5"/>
  <c r="H29" i="5"/>
  <c r="D30" i="5"/>
  <c r="E30" i="5"/>
  <c r="C30" i="5"/>
  <c r="C31" i="5" s="1"/>
  <c r="C29" i="5"/>
  <c r="D33" i="2"/>
  <c r="D28" i="5"/>
  <c r="E28" i="5"/>
  <c r="C28" i="5"/>
  <c r="H27" i="5" l="1"/>
  <c r="F32" i="2"/>
  <c r="G32" i="2"/>
  <c r="H32" i="2"/>
  <c r="F33" i="2"/>
  <c r="G33" i="2"/>
  <c r="H33" i="2"/>
  <c r="D32" i="2"/>
  <c r="E32" i="2"/>
  <c r="E33" i="2"/>
  <c r="D34" i="2"/>
  <c r="E34" i="2"/>
  <c r="C34" i="2"/>
  <c r="C33" i="2"/>
  <c r="C35" i="2" s="1"/>
  <c r="C32" i="2"/>
  <c r="D33" i="4"/>
  <c r="E33" i="4"/>
  <c r="F33" i="4"/>
  <c r="G33" i="4"/>
  <c r="F28" i="5" s="1"/>
  <c r="F30" i="5" s="1"/>
  <c r="F31" i="5" s="1"/>
  <c r="E53" i="1"/>
  <c r="F53" i="1"/>
  <c r="D53" i="1"/>
  <c r="H33" i="4"/>
  <c r="G28" i="5" s="1"/>
  <c r="G30" i="5" s="1"/>
  <c r="G31" i="5" s="1"/>
  <c r="I33" i="4"/>
  <c r="H28" i="5" s="1"/>
  <c r="H30" i="5" s="1"/>
  <c r="H31" i="5" s="1"/>
  <c r="C11" i="2"/>
  <c r="D11" i="2"/>
  <c r="B31" i="1"/>
  <c r="C27" i="5" l="1"/>
  <c r="E37" i="2"/>
  <c r="E38" i="2" s="1"/>
  <c r="D37" i="2"/>
  <c r="C37" i="2"/>
  <c r="C38" i="2" s="1"/>
  <c r="G27" i="5"/>
  <c r="I53" i="1"/>
  <c r="H34" i="2" s="1"/>
  <c r="H37" i="2" s="1"/>
  <c r="H38" i="2" s="1"/>
  <c r="H53" i="1"/>
  <c r="G34" i="2" s="1"/>
  <c r="G35" i="2" s="1"/>
  <c r="G53" i="1"/>
  <c r="F34" i="2" s="1"/>
  <c r="F37" i="2" s="1"/>
  <c r="F38" i="2" s="1"/>
  <c r="F27" i="5"/>
  <c r="E27" i="5"/>
  <c r="D27" i="5"/>
  <c r="E35" i="2"/>
  <c r="D35" i="2"/>
  <c r="I23" i="8"/>
  <c r="H23" i="8"/>
  <c r="F22" i="8"/>
  <c r="E22" i="8"/>
  <c r="D22" i="8"/>
  <c r="G20" i="8"/>
  <c r="D20" i="8"/>
  <c r="K19" i="8"/>
  <c r="H19" i="8"/>
  <c r="L18" i="8"/>
  <c r="D18" i="8"/>
  <c r="H24" i="8"/>
  <c r="G24" i="8"/>
  <c r="F24" i="8"/>
  <c r="E24" i="8"/>
  <c r="D24" i="8"/>
  <c r="C24" i="8"/>
  <c r="N23" i="8"/>
  <c r="M23" i="8"/>
  <c r="L23" i="8"/>
  <c r="K23" i="8"/>
  <c r="J23" i="8"/>
  <c r="G23" i="8"/>
  <c r="F23" i="8"/>
  <c r="E23" i="8"/>
  <c r="D23" i="8"/>
  <c r="C23" i="8"/>
  <c r="N22" i="8"/>
  <c r="M22" i="8"/>
  <c r="L22" i="8"/>
  <c r="K22" i="8"/>
  <c r="J22" i="8"/>
  <c r="I22" i="8"/>
  <c r="H22" i="8"/>
  <c r="G22" i="8"/>
  <c r="C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F20" i="8"/>
  <c r="E20" i="8"/>
  <c r="C20" i="8"/>
  <c r="N19" i="8"/>
  <c r="M19" i="8"/>
  <c r="L19" i="8"/>
  <c r="J19" i="8"/>
  <c r="I19" i="8"/>
  <c r="G19" i="8"/>
  <c r="F19" i="8"/>
  <c r="E19" i="8"/>
  <c r="D19" i="8"/>
  <c r="C19" i="8"/>
  <c r="N18" i="8"/>
  <c r="M18" i="8"/>
  <c r="K18" i="8"/>
  <c r="J18" i="8"/>
  <c r="I18" i="8"/>
  <c r="H18" i="8"/>
  <c r="G18" i="8"/>
  <c r="F18" i="8"/>
  <c r="E18" i="8"/>
  <c r="C18" i="8"/>
  <c r="H35" i="2" l="1"/>
  <c r="G37" i="2"/>
  <c r="G38" i="2" s="1"/>
  <c r="F35" i="2"/>
  <c r="D38" i="2"/>
  <c r="O23" i="8"/>
  <c r="O21" i="8"/>
  <c r="O19" i="8"/>
  <c r="O18" i="8"/>
  <c r="O22" i="8"/>
  <c r="O20" i="8"/>
  <c r="C17" i="2"/>
  <c r="D17" i="2"/>
  <c r="E17" i="2"/>
  <c r="F17" i="2"/>
  <c r="G17" i="2"/>
  <c r="H17" i="2"/>
  <c r="E14" i="2"/>
  <c r="F14" i="2"/>
  <c r="G14" i="2"/>
  <c r="H14" i="2"/>
  <c r="D14" i="2"/>
  <c r="D36" i="1"/>
  <c r="R374" i="9"/>
  <c r="Q374" i="9"/>
  <c r="P374" i="9"/>
  <c r="O374" i="9"/>
  <c r="R373" i="9"/>
  <c r="Q373" i="9"/>
  <c r="P373" i="9"/>
  <c r="O373" i="9"/>
  <c r="R372" i="9"/>
  <c r="Q372" i="9"/>
  <c r="P372" i="9"/>
  <c r="O372" i="9"/>
  <c r="R371" i="9"/>
  <c r="Q371" i="9"/>
  <c r="P371" i="9"/>
  <c r="O371" i="9"/>
  <c r="R370" i="9"/>
  <c r="Q370" i="9"/>
  <c r="P370" i="9"/>
  <c r="O370" i="9"/>
  <c r="R369" i="9"/>
  <c r="Q369" i="9"/>
  <c r="P369" i="9"/>
  <c r="O369" i="9"/>
  <c r="R368" i="9"/>
  <c r="Q368" i="9"/>
  <c r="P368" i="9"/>
  <c r="O368" i="9"/>
  <c r="R367" i="9"/>
  <c r="Q367" i="9"/>
  <c r="P367" i="9"/>
  <c r="O367" i="9"/>
  <c r="R366" i="9"/>
  <c r="Q366" i="9"/>
  <c r="P366" i="9"/>
  <c r="O366" i="9"/>
  <c r="R365" i="9"/>
  <c r="Q365" i="9"/>
  <c r="P365" i="9"/>
  <c r="O365" i="9"/>
  <c r="R364" i="9"/>
  <c r="Q364" i="9"/>
  <c r="P364" i="9"/>
  <c r="O364" i="9"/>
  <c r="R363" i="9"/>
  <c r="Q363" i="9"/>
  <c r="P363" i="9"/>
  <c r="O363" i="9"/>
  <c r="R362" i="9"/>
  <c r="Q362" i="9"/>
  <c r="P362" i="9"/>
  <c r="O362" i="9"/>
  <c r="R361" i="9"/>
  <c r="Q361" i="9"/>
  <c r="P361" i="9"/>
  <c r="O361" i="9"/>
  <c r="R360" i="9"/>
  <c r="Q360" i="9"/>
  <c r="P360" i="9"/>
  <c r="O360" i="9"/>
  <c r="R359" i="9"/>
  <c r="Q359" i="9"/>
  <c r="P359" i="9"/>
  <c r="O359" i="9"/>
  <c r="R358" i="9"/>
  <c r="Q358" i="9"/>
  <c r="P358" i="9"/>
  <c r="O358" i="9"/>
  <c r="R357" i="9"/>
  <c r="Q357" i="9"/>
  <c r="P357" i="9"/>
  <c r="O357" i="9"/>
  <c r="R356" i="9"/>
  <c r="Q356" i="9"/>
  <c r="P356" i="9"/>
  <c r="O356" i="9"/>
  <c r="R355" i="9"/>
  <c r="Q355" i="9"/>
  <c r="P355" i="9"/>
  <c r="O355" i="9"/>
  <c r="R354" i="9"/>
  <c r="Q354" i="9"/>
  <c r="P354" i="9"/>
  <c r="O354" i="9"/>
  <c r="R353" i="9"/>
  <c r="Q353" i="9"/>
  <c r="P353" i="9"/>
  <c r="O353" i="9"/>
  <c r="R352" i="9"/>
  <c r="Q352" i="9"/>
  <c r="P352" i="9"/>
  <c r="O352" i="9"/>
  <c r="R351" i="9"/>
  <c r="Q351" i="9"/>
  <c r="P351" i="9"/>
  <c r="O351" i="9"/>
  <c r="R350" i="9"/>
  <c r="Q350" i="9"/>
  <c r="P350" i="9"/>
  <c r="O350" i="9"/>
  <c r="R349" i="9"/>
  <c r="Q349" i="9"/>
  <c r="P349" i="9"/>
  <c r="O349" i="9"/>
  <c r="R348" i="9"/>
  <c r="Q348" i="9"/>
  <c r="P348" i="9"/>
  <c r="O348" i="9"/>
  <c r="R347" i="9"/>
  <c r="Q347" i="9"/>
  <c r="P347" i="9"/>
  <c r="O347" i="9"/>
  <c r="R346" i="9"/>
  <c r="Q346" i="9"/>
  <c r="P346" i="9"/>
  <c r="O346" i="9"/>
  <c r="R345" i="9"/>
  <c r="Q345" i="9"/>
  <c r="P345" i="9"/>
  <c r="O345" i="9"/>
  <c r="R344" i="9"/>
  <c r="Q344" i="9"/>
  <c r="P344" i="9"/>
  <c r="O344" i="9"/>
  <c r="R343" i="9"/>
  <c r="Q343" i="9"/>
  <c r="P343" i="9"/>
  <c r="O343" i="9"/>
  <c r="R342" i="9"/>
  <c r="Q342" i="9"/>
  <c r="P342" i="9"/>
  <c r="O342" i="9"/>
  <c r="R341" i="9"/>
  <c r="Q341" i="9"/>
  <c r="P341" i="9"/>
  <c r="O341" i="9"/>
  <c r="R340" i="9"/>
  <c r="Q340" i="9"/>
  <c r="P340" i="9"/>
  <c r="O340" i="9"/>
  <c r="R339" i="9"/>
  <c r="Q339" i="9"/>
  <c r="P339" i="9"/>
  <c r="O339" i="9"/>
  <c r="R338" i="9"/>
  <c r="Q338" i="9"/>
  <c r="P338" i="9"/>
  <c r="O338" i="9"/>
  <c r="R337" i="9"/>
  <c r="Q337" i="9"/>
  <c r="P337" i="9"/>
  <c r="O337" i="9"/>
  <c r="R336" i="9"/>
  <c r="Q336" i="9"/>
  <c r="P336" i="9"/>
  <c r="O336" i="9"/>
  <c r="R335" i="9"/>
  <c r="Q335" i="9"/>
  <c r="P335" i="9"/>
  <c r="O335" i="9"/>
  <c r="R334" i="9"/>
  <c r="Q334" i="9"/>
  <c r="P334" i="9"/>
  <c r="O334" i="9"/>
  <c r="R333" i="9"/>
  <c r="Q333" i="9"/>
  <c r="P333" i="9"/>
  <c r="O333" i="9"/>
  <c r="R332" i="9"/>
  <c r="Q332" i="9"/>
  <c r="P332" i="9"/>
  <c r="O332" i="9"/>
  <c r="R331" i="9"/>
  <c r="Q331" i="9"/>
  <c r="P331" i="9"/>
  <c r="O331" i="9"/>
  <c r="R330" i="9"/>
  <c r="Q330" i="9"/>
  <c r="P330" i="9"/>
  <c r="O330" i="9"/>
  <c r="R329" i="9"/>
  <c r="Q329" i="9"/>
  <c r="P329" i="9"/>
  <c r="O329" i="9"/>
  <c r="R328" i="9"/>
  <c r="Q328" i="9"/>
  <c r="P328" i="9"/>
  <c r="O328" i="9"/>
  <c r="R327" i="9"/>
  <c r="Q327" i="9"/>
  <c r="P327" i="9"/>
  <c r="O327" i="9"/>
  <c r="R326" i="9"/>
  <c r="Q326" i="9"/>
  <c r="P326" i="9"/>
  <c r="O326" i="9"/>
  <c r="R325" i="9"/>
  <c r="Q325" i="9"/>
  <c r="P325" i="9"/>
  <c r="O325" i="9"/>
  <c r="R324" i="9"/>
  <c r="Q324" i="9"/>
  <c r="P324" i="9"/>
  <c r="O324" i="9"/>
  <c r="R323" i="9"/>
  <c r="Q323" i="9"/>
  <c r="P323" i="9"/>
  <c r="O323" i="9"/>
  <c r="R322" i="9"/>
  <c r="Q322" i="9"/>
  <c r="P322" i="9"/>
  <c r="O322" i="9"/>
  <c r="R321" i="9"/>
  <c r="Q321" i="9"/>
  <c r="P321" i="9"/>
  <c r="O321" i="9"/>
  <c r="R320" i="9"/>
  <c r="Q320" i="9"/>
  <c r="P320" i="9"/>
  <c r="O320" i="9"/>
  <c r="R319" i="9"/>
  <c r="Q319" i="9"/>
  <c r="P319" i="9"/>
  <c r="O319" i="9"/>
  <c r="R318" i="9"/>
  <c r="Q318" i="9"/>
  <c r="P318" i="9"/>
  <c r="O318" i="9"/>
  <c r="R317" i="9"/>
  <c r="Q317" i="9"/>
  <c r="P317" i="9"/>
  <c r="O317" i="9"/>
  <c r="R316" i="9"/>
  <c r="Q316" i="9"/>
  <c r="P316" i="9"/>
  <c r="O316" i="9"/>
  <c r="R315" i="9"/>
  <c r="Q315" i="9"/>
  <c r="P315" i="9"/>
  <c r="O315" i="9"/>
  <c r="R314" i="9"/>
  <c r="Q314" i="9"/>
  <c r="P314" i="9"/>
  <c r="O314" i="9"/>
  <c r="R313" i="9"/>
  <c r="Q313" i="9"/>
  <c r="P313" i="9"/>
  <c r="O313" i="9"/>
  <c r="R312" i="9"/>
  <c r="Q312" i="9"/>
  <c r="P312" i="9"/>
  <c r="O312" i="9"/>
  <c r="R311" i="9"/>
  <c r="Q311" i="9"/>
  <c r="P311" i="9"/>
  <c r="O311" i="9"/>
  <c r="R310" i="9"/>
  <c r="Q310" i="9"/>
  <c r="P310" i="9"/>
  <c r="O310" i="9"/>
  <c r="R309" i="9"/>
  <c r="Q309" i="9"/>
  <c r="P309" i="9"/>
  <c r="O309" i="9"/>
  <c r="R308" i="9"/>
  <c r="Q308" i="9"/>
  <c r="P308" i="9"/>
  <c r="O308" i="9"/>
  <c r="R307" i="9"/>
  <c r="Q307" i="9"/>
  <c r="P307" i="9"/>
  <c r="O307" i="9"/>
  <c r="R306" i="9"/>
  <c r="Q306" i="9"/>
  <c r="P306" i="9"/>
  <c r="O306" i="9"/>
  <c r="R305" i="9"/>
  <c r="Q305" i="9"/>
  <c r="P305" i="9"/>
  <c r="O305" i="9"/>
  <c r="R304" i="9"/>
  <c r="Q304" i="9"/>
  <c r="P304" i="9"/>
  <c r="O304" i="9"/>
  <c r="R303" i="9"/>
  <c r="Q303" i="9"/>
  <c r="P303" i="9"/>
  <c r="O303" i="9"/>
  <c r="R302" i="9"/>
  <c r="Q302" i="9"/>
  <c r="P302" i="9"/>
  <c r="O302" i="9"/>
  <c r="R301" i="9"/>
  <c r="Q301" i="9"/>
  <c r="P301" i="9"/>
  <c r="O301" i="9"/>
  <c r="R300" i="9"/>
  <c r="Q300" i="9"/>
  <c r="P300" i="9"/>
  <c r="O300" i="9"/>
  <c r="R299" i="9"/>
  <c r="Q299" i="9"/>
  <c r="P299" i="9"/>
  <c r="O299" i="9"/>
  <c r="R298" i="9"/>
  <c r="Q298" i="9"/>
  <c r="P298" i="9"/>
  <c r="O298" i="9"/>
  <c r="R297" i="9"/>
  <c r="Q297" i="9"/>
  <c r="P297" i="9"/>
  <c r="O297" i="9"/>
  <c r="R296" i="9"/>
  <c r="Q296" i="9"/>
  <c r="P296" i="9"/>
  <c r="O296" i="9"/>
  <c r="R295" i="9"/>
  <c r="Q295" i="9"/>
  <c r="P295" i="9"/>
  <c r="O295" i="9"/>
  <c r="R294" i="9"/>
  <c r="Q294" i="9"/>
  <c r="P294" i="9"/>
  <c r="O294" i="9"/>
  <c r="R293" i="9"/>
  <c r="Q293" i="9"/>
  <c r="P293" i="9"/>
  <c r="O293" i="9"/>
  <c r="R292" i="9"/>
  <c r="Q292" i="9"/>
  <c r="P292" i="9"/>
  <c r="O292" i="9"/>
  <c r="R291" i="9"/>
  <c r="Q291" i="9"/>
  <c r="P291" i="9"/>
  <c r="O291" i="9"/>
  <c r="R290" i="9"/>
  <c r="Q290" i="9"/>
  <c r="P290" i="9"/>
  <c r="O290" i="9"/>
  <c r="R289" i="9"/>
  <c r="Q289" i="9"/>
  <c r="P289" i="9"/>
  <c r="O289" i="9"/>
  <c r="R288" i="9"/>
  <c r="Q288" i="9"/>
  <c r="P288" i="9"/>
  <c r="O288" i="9"/>
  <c r="R287" i="9"/>
  <c r="Q287" i="9"/>
  <c r="P287" i="9"/>
  <c r="O287" i="9"/>
  <c r="R286" i="9"/>
  <c r="Q286" i="9"/>
  <c r="P286" i="9"/>
  <c r="O286" i="9"/>
  <c r="R285" i="9"/>
  <c r="Q285" i="9"/>
  <c r="P285" i="9"/>
  <c r="O285" i="9"/>
  <c r="R284" i="9"/>
  <c r="Q284" i="9"/>
  <c r="P284" i="9"/>
  <c r="O284" i="9"/>
  <c r="R283" i="9"/>
  <c r="Q283" i="9"/>
  <c r="P283" i="9"/>
  <c r="O283" i="9"/>
  <c r="R282" i="9"/>
  <c r="Q282" i="9"/>
  <c r="P282" i="9"/>
  <c r="O282" i="9"/>
  <c r="R281" i="9"/>
  <c r="Q281" i="9"/>
  <c r="P281" i="9"/>
  <c r="O281" i="9"/>
  <c r="R280" i="9"/>
  <c r="Q280" i="9"/>
  <c r="P280" i="9"/>
  <c r="O280" i="9"/>
  <c r="R279" i="9"/>
  <c r="Q279" i="9"/>
  <c r="P279" i="9"/>
  <c r="O279" i="9"/>
  <c r="R278" i="9"/>
  <c r="Q278" i="9"/>
  <c r="P278" i="9"/>
  <c r="O278" i="9"/>
  <c r="R277" i="9"/>
  <c r="Q277" i="9"/>
  <c r="P277" i="9"/>
  <c r="O277" i="9"/>
  <c r="R276" i="9"/>
  <c r="Q276" i="9"/>
  <c r="P276" i="9"/>
  <c r="O276" i="9"/>
  <c r="R275" i="9"/>
  <c r="Q275" i="9"/>
  <c r="P275" i="9"/>
  <c r="O275" i="9"/>
  <c r="R274" i="9"/>
  <c r="Q274" i="9"/>
  <c r="P274" i="9"/>
  <c r="O274" i="9"/>
  <c r="R273" i="9"/>
  <c r="Q273" i="9"/>
  <c r="P273" i="9"/>
  <c r="O273" i="9"/>
  <c r="R272" i="9"/>
  <c r="Q272" i="9"/>
  <c r="P272" i="9"/>
  <c r="O272" i="9"/>
  <c r="R271" i="9"/>
  <c r="Q271" i="9"/>
  <c r="P271" i="9"/>
  <c r="O271" i="9"/>
  <c r="R270" i="9"/>
  <c r="Q270" i="9"/>
  <c r="P270" i="9"/>
  <c r="O270" i="9"/>
  <c r="R269" i="9"/>
  <c r="Q269" i="9"/>
  <c r="P269" i="9"/>
  <c r="O269" i="9"/>
  <c r="R268" i="9"/>
  <c r="Q268" i="9"/>
  <c r="P268" i="9"/>
  <c r="O268" i="9"/>
  <c r="R267" i="9"/>
  <c r="Q267" i="9"/>
  <c r="P267" i="9"/>
  <c r="O267" i="9"/>
  <c r="R266" i="9"/>
  <c r="Q266" i="9"/>
  <c r="P266" i="9"/>
  <c r="O266" i="9"/>
  <c r="R265" i="9"/>
  <c r="Q265" i="9"/>
  <c r="P265" i="9"/>
  <c r="O265" i="9"/>
  <c r="R264" i="9"/>
  <c r="Q264" i="9"/>
  <c r="P264" i="9"/>
  <c r="O264" i="9"/>
  <c r="R263" i="9"/>
  <c r="Q263" i="9"/>
  <c r="P263" i="9"/>
  <c r="O263" i="9"/>
  <c r="R262" i="9"/>
  <c r="Q262" i="9"/>
  <c r="P262" i="9"/>
  <c r="O262" i="9"/>
  <c r="R261" i="9"/>
  <c r="Q261" i="9"/>
  <c r="P261" i="9"/>
  <c r="O261" i="9"/>
  <c r="R260" i="9"/>
  <c r="Q260" i="9"/>
  <c r="P260" i="9"/>
  <c r="O260" i="9"/>
  <c r="R259" i="9"/>
  <c r="Q259" i="9"/>
  <c r="P259" i="9"/>
  <c r="O259" i="9"/>
  <c r="R258" i="9"/>
  <c r="Q258" i="9"/>
  <c r="P258" i="9"/>
  <c r="O258" i="9"/>
  <c r="R257" i="9"/>
  <c r="Q257" i="9"/>
  <c r="P257" i="9"/>
  <c r="O257" i="9"/>
  <c r="R256" i="9"/>
  <c r="Q256" i="9"/>
  <c r="P256" i="9"/>
  <c r="O256" i="9"/>
  <c r="R255" i="9"/>
  <c r="Q255" i="9"/>
  <c r="P255" i="9"/>
  <c r="O255" i="9"/>
  <c r="R254" i="9"/>
  <c r="Q254" i="9"/>
  <c r="P254" i="9"/>
  <c r="O254" i="9"/>
  <c r="R253" i="9"/>
  <c r="Q253" i="9"/>
  <c r="P253" i="9"/>
  <c r="O253" i="9"/>
  <c r="R252" i="9"/>
  <c r="Q252" i="9"/>
  <c r="P252" i="9"/>
  <c r="O252" i="9"/>
  <c r="R251" i="9"/>
  <c r="Q251" i="9"/>
  <c r="P251" i="9"/>
  <c r="O251" i="9"/>
  <c r="R250" i="9"/>
  <c r="Q250" i="9"/>
  <c r="P250" i="9"/>
  <c r="O250" i="9"/>
  <c r="R249" i="9"/>
  <c r="Q249" i="9"/>
  <c r="P249" i="9"/>
  <c r="O249" i="9"/>
  <c r="R248" i="9"/>
  <c r="Q248" i="9"/>
  <c r="P248" i="9"/>
  <c r="O248" i="9"/>
  <c r="R247" i="9"/>
  <c r="Q247" i="9"/>
  <c r="P247" i="9"/>
  <c r="O247" i="9"/>
  <c r="R246" i="9"/>
  <c r="Q246" i="9"/>
  <c r="P246" i="9"/>
  <c r="O246" i="9"/>
  <c r="R245" i="9"/>
  <c r="Q245" i="9"/>
  <c r="P245" i="9"/>
  <c r="O245" i="9"/>
  <c r="R244" i="9"/>
  <c r="Q244" i="9"/>
  <c r="P244" i="9"/>
  <c r="O244" i="9"/>
  <c r="R243" i="9"/>
  <c r="Q243" i="9"/>
  <c r="P243" i="9"/>
  <c r="O243" i="9"/>
  <c r="R242" i="9"/>
  <c r="Q242" i="9"/>
  <c r="P242" i="9"/>
  <c r="O242" i="9"/>
  <c r="R241" i="9"/>
  <c r="Q241" i="9"/>
  <c r="P241" i="9"/>
  <c r="O241" i="9"/>
  <c r="R240" i="9"/>
  <c r="Q240" i="9"/>
  <c r="P240" i="9"/>
  <c r="O240" i="9"/>
  <c r="R239" i="9"/>
  <c r="Q239" i="9"/>
  <c r="P239" i="9"/>
  <c r="O239" i="9"/>
  <c r="R238" i="9"/>
  <c r="Q238" i="9"/>
  <c r="P238" i="9"/>
  <c r="O238" i="9"/>
  <c r="R237" i="9"/>
  <c r="Q237" i="9"/>
  <c r="P237" i="9"/>
  <c r="O237" i="9"/>
  <c r="R236" i="9"/>
  <c r="Q236" i="9"/>
  <c r="P236" i="9"/>
  <c r="O236" i="9"/>
  <c r="R235" i="9"/>
  <c r="Q235" i="9"/>
  <c r="P235" i="9"/>
  <c r="O235" i="9"/>
  <c r="R234" i="9"/>
  <c r="Q234" i="9"/>
  <c r="P234" i="9"/>
  <c r="O234" i="9"/>
  <c r="R233" i="9"/>
  <c r="Q233" i="9"/>
  <c r="P233" i="9"/>
  <c r="O233" i="9"/>
  <c r="R232" i="9"/>
  <c r="Q232" i="9"/>
  <c r="P232" i="9"/>
  <c r="O232" i="9"/>
  <c r="R231" i="9"/>
  <c r="Q231" i="9"/>
  <c r="P231" i="9"/>
  <c r="O231" i="9"/>
  <c r="R230" i="9"/>
  <c r="Q230" i="9"/>
  <c r="P230" i="9"/>
  <c r="O230" i="9"/>
  <c r="R229" i="9"/>
  <c r="Q229" i="9"/>
  <c r="P229" i="9"/>
  <c r="O229" i="9"/>
  <c r="R228" i="9"/>
  <c r="Q228" i="9"/>
  <c r="P228" i="9"/>
  <c r="O228" i="9"/>
  <c r="R227" i="9"/>
  <c r="Q227" i="9"/>
  <c r="P227" i="9"/>
  <c r="O227" i="9"/>
  <c r="R226" i="9"/>
  <c r="Q226" i="9"/>
  <c r="P226" i="9"/>
  <c r="O226" i="9"/>
  <c r="R225" i="9"/>
  <c r="Q225" i="9"/>
  <c r="P225" i="9"/>
  <c r="O225" i="9"/>
  <c r="R224" i="9"/>
  <c r="Q224" i="9"/>
  <c r="P224" i="9"/>
  <c r="O224" i="9"/>
  <c r="R223" i="9"/>
  <c r="Q223" i="9"/>
  <c r="P223" i="9"/>
  <c r="O223" i="9"/>
  <c r="R222" i="9"/>
  <c r="Q222" i="9"/>
  <c r="P222" i="9"/>
  <c r="O222" i="9"/>
  <c r="R221" i="9"/>
  <c r="Q221" i="9"/>
  <c r="P221" i="9"/>
  <c r="O221" i="9"/>
  <c r="R220" i="9"/>
  <c r="Q220" i="9"/>
  <c r="P220" i="9"/>
  <c r="O220" i="9"/>
  <c r="R219" i="9"/>
  <c r="Q219" i="9"/>
  <c r="P219" i="9"/>
  <c r="O219" i="9"/>
  <c r="R218" i="9"/>
  <c r="Q218" i="9"/>
  <c r="P218" i="9"/>
  <c r="O218" i="9"/>
  <c r="R217" i="9"/>
  <c r="Q217" i="9"/>
  <c r="P217" i="9"/>
  <c r="O217" i="9"/>
  <c r="R216" i="9"/>
  <c r="Q216" i="9"/>
  <c r="P216" i="9"/>
  <c r="O216" i="9"/>
  <c r="R215" i="9"/>
  <c r="Q215" i="9"/>
  <c r="P215" i="9"/>
  <c r="O215" i="9"/>
  <c r="R214" i="9"/>
  <c r="Q214" i="9"/>
  <c r="P214" i="9"/>
  <c r="O214" i="9"/>
  <c r="R213" i="9"/>
  <c r="Q213" i="9"/>
  <c r="P213" i="9"/>
  <c r="O213" i="9"/>
  <c r="R212" i="9"/>
  <c r="Q212" i="9"/>
  <c r="P212" i="9"/>
  <c r="O212" i="9"/>
  <c r="R211" i="9"/>
  <c r="Q211" i="9"/>
  <c r="P211" i="9"/>
  <c r="O211" i="9"/>
  <c r="R210" i="9"/>
  <c r="Q210" i="9"/>
  <c r="P210" i="9"/>
  <c r="O210" i="9"/>
  <c r="R209" i="9"/>
  <c r="Q209" i="9"/>
  <c r="P209" i="9"/>
  <c r="O209" i="9"/>
  <c r="R208" i="9"/>
  <c r="Q208" i="9"/>
  <c r="P208" i="9"/>
  <c r="O208" i="9"/>
  <c r="R207" i="9"/>
  <c r="Q207" i="9"/>
  <c r="P207" i="9"/>
  <c r="O207" i="9"/>
  <c r="R206" i="9"/>
  <c r="Q206" i="9"/>
  <c r="P206" i="9"/>
  <c r="O206" i="9"/>
  <c r="R205" i="9"/>
  <c r="Q205" i="9"/>
  <c r="P205" i="9"/>
  <c r="O205" i="9"/>
  <c r="R204" i="9"/>
  <c r="Q204" i="9"/>
  <c r="P204" i="9"/>
  <c r="O204" i="9"/>
  <c r="R203" i="9"/>
  <c r="Q203" i="9"/>
  <c r="P203" i="9"/>
  <c r="O203" i="9"/>
  <c r="R202" i="9"/>
  <c r="Q202" i="9"/>
  <c r="P202" i="9"/>
  <c r="O202" i="9"/>
  <c r="R201" i="9"/>
  <c r="Q201" i="9"/>
  <c r="P201" i="9"/>
  <c r="O201" i="9"/>
  <c r="R200" i="9"/>
  <c r="Q200" i="9"/>
  <c r="P200" i="9"/>
  <c r="O200" i="9"/>
  <c r="R199" i="9"/>
  <c r="Q199" i="9"/>
  <c r="P199" i="9"/>
  <c r="O199" i="9"/>
  <c r="R198" i="9"/>
  <c r="Q198" i="9"/>
  <c r="P198" i="9"/>
  <c r="O198" i="9"/>
  <c r="R197" i="9"/>
  <c r="Q197" i="9"/>
  <c r="P197" i="9"/>
  <c r="O197" i="9"/>
  <c r="R196" i="9"/>
  <c r="Q196" i="9"/>
  <c r="P196" i="9"/>
  <c r="O196" i="9"/>
  <c r="R195" i="9"/>
  <c r="Q195" i="9"/>
  <c r="P195" i="9"/>
  <c r="O195" i="9"/>
  <c r="R194" i="9"/>
  <c r="Q194" i="9"/>
  <c r="P194" i="9"/>
  <c r="O194" i="9"/>
  <c r="R193" i="9"/>
  <c r="Q193" i="9"/>
  <c r="P193" i="9"/>
  <c r="O193" i="9"/>
  <c r="R192" i="9"/>
  <c r="Q192" i="9"/>
  <c r="P192" i="9"/>
  <c r="O192" i="9"/>
  <c r="R191" i="9"/>
  <c r="Q191" i="9"/>
  <c r="P191" i="9"/>
  <c r="O191" i="9"/>
  <c r="R190" i="9"/>
  <c r="Q190" i="9"/>
  <c r="P190" i="9"/>
  <c r="O190" i="9"/>
  <c r="R189" i="9"/>
  <c r="Q189" i="9"/>
  <c r="P189" i="9"/>
  <c r="O189" i="9"/>
  <c r="R188" i="9"/>
  <c r="Q188" i="9"/>
  <c r="P188" i="9"/>
  <c r="O188" i="9"/>
  <c r="R187" i="9"/>
  <c r="Q187" i="9"/>
  <c r="P187" i="9"/>
  <c r="O187" i="9"/>
  <c r="R186" i="9"/>
  <c r="Q186" i="9"/>
  <c r="P186" i="9"/>
  <c r="O186" i="9"/>
  <c r="R185" i="9"/>
  <c r="Q185" i="9"/>
  <c r="P185" i="9"/>
  <c r="O185" i="9"/>
  <c r="R184" i="9"/>
  <c r="Q184" i="9"/>
  <c r="P184" i="9"/>
  <c r="O184" i="9"/>
  <c r="R183" i="9"/>
  <c r="Q183" i="9"/>
  <c r="P183" i="9"/>
  <c r="O183" i="9"/>
  <c r="R182" i="9"/>
  <c r="Q182" i="9"/>
  <c r="P182" i="9"/>
  <c r="O182" i="9"/>
  <c r="R181" i="9"/>
  <c r="Q181" i="9"/>
  <c r="P181" i="9"/>
  <c r="O181" i="9"/>
  <c r="R180" i="9"/>
  <c r="Q180" i="9"/>
  <c r="P180" i="9"/>
  <c r="O180" i="9"/>
  <c r="R179" i="9"/>
  <c r="Q179" i="9"/>
  <c r="P179" i="9"/>
  <c r="O179" i="9"/>
  <c r="R178" i="9"/>
  <c r="Q178" i="9"/>
  <c r="F35" i="1" s="1"/>
  <c r="P178" i="9"/>
  <c r="O178" i="9"/>
  <c r="R177" i="9"/>
  <c r="Q177" i="9"/>
  <c r="P177" i="9"/>
  <c r="O177" i="9"/>
  <c r="R176" i="9"/>
  <c r="Q176" i="9"/>
  <c r="P176" i="9"/>
  <c r="O176" i="9"/>
  <c r="R175" i="9"/>
  <c r="Q175" i="9"/>
  <c r="P175" i="9"/>
  <c r="O175" i="9"/>
  <c r="R174" i="9"/>
  <c r="Q174" i="9"/>
  <c r="P174" i="9"/>
  <c r="O174" i="9"/>
  <c r="R173" i="9"/>
  <c r="Q173" i="9"/>
  <c r="P173" i="9"/>
  <c r="O173" i="9"/>
  <c r="R172" i="9"/>
  <c r="Q172" i="9"/>
  <c r="P172" i="9"/>
  <c r="O172" i="9"/>
  <c r="R171" i="9"/>
  <c r="Q171" i="9"/>
  <c r="P171" i="9"/>
  <c r="O171" i="9"/>
  <c r="R170" i="9"/>
  <c r="Q170" i="9"/>
  <c r="P170" i="9"/>
  <c r="O170" i="9"/>
  <c r="R169" i="9"/>
  <c r="Q169" i="9"/>
  <c r="P169" i="9"/>
  <c r="O169" i="9"/>
  <c r="R168" i="9"/>
  <c r="Q168" i="9"/>
  <c r="P168" i="9"/>
  <c r="O168" i="9"/>
  <c r="R167" i="9"/>
  <c r="Q167" i="9"/>
  <c r="P167" i="9"/>
  <c r="O167" i="9"/>
  <c r="R166" i="9"/>
  <c r="Q166" i="9"/>
  <c r="P166" i="9"/>
  <c r="O166" i="9"/>
  <c r="R165" i="9"/>
  <c r="Q165" i="9"/>
  <c r="P165" i="9"/>
  <c r="O165" i="9"/>
  <c r="R164" i="9"/>
  <c r="Q164" i="9"/>
  <c r="P164" i="9"/>
  <c r="O164" i="9"/>
  <c r="R163" i="9"/>
  <c r="Q163" i="9"/>
  <c r="P163" i="9"/>
  <c r="O163" i="9"/>
  <c r="R162" i="9"/>
  <c r="Q162" i="9"/>
  <c r="P162" i="9"/>
  <c r="O162" i="9"/>
  <c r="R161" i="9"/>
  <c r="Q161" i="9"/>
  <c r="P161" i="9"/>
  <c r="O161" i="9"/>
  <c r="R160" i="9"/>
  <c r="Q160" i="9"/>
  <c r="P160" i="9"/>
  <c r="O160" i="9"/>
  <c r="R159" i="9"/>
  <c r="Q159" i="9"/>
  <c r="P159" i="9"/>
  <c r="O159" i="9"/>
  <c r="R158" i="9"/>
  <c r="Q158" i="9"/>
  <c r="P158" i="9"/>
  <c r="O158" i="9"/>
  <c r="R157" i="9"/>
  <c r="Q157" i="9"/>
  <c r="P157" i="9"/>
  <c r="O157" i="9"/>
  <c r="R156" i="9"/>
  <c r="Q156" i="9"/>
  <c r="P156" i="9"/>
  <c r="O156" i="9"/>
  <c r="R155" i="9"/>
  <c r="Q155" i="9"/>
  <c r="P155" i="9"/>
  <c r="O155" i="9"/>
  <c r="R154" i="9"/>
  <c r="Q154" i="9"/>
  <c r="P154" i="9"/>
  <c r="O154" i="9"/>
  <c r="R153" i="9"/>
  <c r="Q153" i="9"/>
  <c r="P153" i="9"/>
  <c r="O153" i="9"/>
  <c r="R152" i="9"/>
  <c r="Q152" i="9"/>
  <c r="P152" i="9"/>
  <c r="O152" i="9"/>
  <c r="R151" i="9"/>
  <c r="Q151" i="9"/>
  <c r="P151" i="9"/>
  <c r="O151" i="9"/>
  <c r="R150" i="9"/>
  <c r="Q150" i="9"/>
  <c r="P150" i="9"/>
  <c r="O150" i="9"/>
  <c r="R149" i="9"/>
  <c r="Q149" i="9"/>
  <c r="P149" i="9"/>
  <c r="O149" i="9"/>
  <c r="R148" i="9"/>
  <c r="Q148" i="9"/>
  <c r="P148" i="9"/>
  <c r="O148" i="9"/>
  <c r="R147" i="9"/>
  <c r="Q147" i="9"/>
  <c r="P147" i="9"/>
  <c r="O147" i="9"/>
  <c r="R146" i="9"/>
  <c r="Q146" i="9"/>
  <c r="P146" i="9"/>
  <c r="O146" i="9"/>
  <c r="R145" i="9"/>
  <c r="Q145" i="9"/>
  <c r="P145" i="9"/>
  <c r="O145" i="9"/>
  <c r="R144" i="9"/>
  <c r="Q144" i="9"/>
  <c r="P144" i="9"/>
  <c r="O144" i="9"/>
  <c r="R143" i="9"/>
  <c r="Q143" i="9"/>
  <c r="P143" i="9"/>
  <c r="O143" i="9"/>
  <c r="R142" i="9"/>
  <c r="Q142" i="9"/>
  <c r="P142" i="9"/>
  <c r="O142" i="9"/>
  <c r="R141" i="9"/>
  <c r="Q141" i="9"/>
  <c r="P141" i="9"/>
  <c r="O141" i="9"/>
  <c r="R140" i="9"/>
  <c r="Q140" i="9"/>
  <c r="P140" i="9"/>
  <c r="O140" i="9"/>
  <c r="R139" i="9"/>
  <c r="Q139" i="9"/>
  <c r="P139" i="9"/>
  <c r="O139" i="9"/>
  <c r="R138" i="9"/>
  <c r="Q138" i="9"/>
  <c r="P138" i="9"/>
  <c r="O138" i="9"/>
  <c r="R137" i="9"/>
  <c r="Q137" i="9"/>
  <c r="P137" i="9"/>
  <c r="O137" i="9"/>
  <c r="R136" i="9"/>
  <c r="Q136" i="9"/>
  <c r="P136" i="9"/>
  <c r="O136" i="9"/>
  <c r="R135" i="9"/>
  <c r="Q135" i="9"/>
  <c r="P135" i="9"/>
  <c r="O135" i="9"/>
  <c r="R134" i="9"/>
  <c r="Q134" i="9"/>
  <c r="P134" i="9"/>
  <c r="O134" i="9"/>
  <c r="R133" i="9"/>
  <c r="Q133" i="9"/>
  <c r="P133" i="9"/>
  <c r="O133" i="9"/>
  <c r="R132" i="9"/>
  <c r="Q132" i="9"/>
  <c r="P132" i="9"/>
  <c r="O132" i="9"/>
  <c r="R131" i="9"/>
  <c r="Q131" i="9"/>
  <c r="P131" i="9"/>
  <c r="O131" i="9"/>
  <c r="R130" i="9"/>
  <c r="Q130" i="9"/>
  <c r="P130" i="9"/>
  <c r="O130" i="9"/>
  <c r="R129" i="9"/>
  <c r="Q129" i="9"/>
  <c r="P129" i="9"/>
  <c r="O129" i="9"/>
  <c r="R128" i="9"/>
  <c r="Q128" i="9"/>
  <c r="P128" i="9"/>
  <c r="O128" i="9"/>
  <c r="R127" i="9"/>
  <c r="Q127" i="9"/>
  <c r="P127" i="9"/>
  <c r="O127" i="9"/>
  <c r="R126" i="9"/>
  <c r="Q126" i="9"/>
  <c r="P126" i="9"/>
  <c r="O126" i="9"/>
  <c r="R125" i="9"/>
  <c r="Q125" i="9"/>
  <c r="P125" i="9"/>
  <c r="O125" i="9"/>
  <c r="R124" i="9"/>
  <c r="Q124" i="9"/>
  <c r="P124" i="9"/>
  <c r="O124" i="9"/>
  <c r="R123" i="9"/>
  <c r="Q123" i="9"/>
  <c r="P123" i="9"/>
  <c r="O123" i="9"/>
  <c r="R122" i="9"/>
  <c r="Q122" i="9"/>
  <c r="P122" i="9"/>
  <c r="O122" i="9"/>
  <c r="R121" i="9"/>
  <c r="Q121" i="9"/>
  <c r="P121" i="9"/>
  <c r="O121" i="9"/>
  <c r="R120" i="9"/>
  <c r="Q120" i="9"/>
  <c r="P120" i="9"/>
  <c r="O120" i="9"/>
  <c r="R119" i="9"/>
  <c r="Q119" i="9"/>
  <c r="P119" i="9"/>
  <c r="O119" i="9"/>
  <c r="R118" i="9"/>
  <c r="Q118" i="9"/>
  <c r="P118" i="9"/>
  <c r="O118" i="9"/>
  <c r="R117" i="9"/>
  <c r="Q117" i="9"/>
  <c r="P117" i="9"/>
  <c r="O117" i="9"/>
  <c r="R116" i="9"/>
  <c r="Q116" i="9"/>
  <c r="P116" i="9"/>
  <c r="O116" i="9"/>
  <c r="R115" i="9"/>
  <c r="Q115" i="9"/>
  <c r="P115" i="9"/>
  <c r="O115" i="9"/>
  <c r="R114" i="9"/>
  <c r="Q114" i="9"/>
  <c r="P114" i="9"/>
  <c r="O114" i="9"/>
  <c r="R113" i="9"/>
  <c r="Q113" i="9"/>
  <c r="P113" i="9"/>
  <c r="O113" i="9"/>
  <c r="R112" i="9"/>
  <c r="Q112" i="9"/>
  <c r="P112" i="9"/>
  <c r="O112" i="9"/>
  <c r="R111" i="9"/>
  <c r="Q111" i="9"/>
  <c r="P111" i="9"/>
  <c r="O111" i="9"/>
  <c r="R110" i="9"/>
  <c r="Q110" i="9"/>
  <c r="P110" i="9"/>
  <c r="O110" i="9"/>
  <c r="R109" i="9"/>
  <c r="Q109" i="9"/>
  <c r="P109" i="9"/>
  <c r="O109" i="9"/>
  <c r="R108" i="9"/>
  <c r="Q108" i="9"/>
  <c r="P108" i="9"/>
  <c r="O108" i="9"/>
  <c r="R107" i="9"/>
  <c r="Q107" i="9"/>
  <c r="P107" i="9"/>
  <c r="O107" i="9"/>
  <c r="R106" i="9"/>
  <c r="Q106" i="9"/>
  <c r="P106" i="9"/>
  <c r="O106" i="9"/>
  <c r="R105" i="9"/>
  <c r="Q105" i="9"/>
  <c r="P105" i="9"/>
  <c r="O105" i="9"/>
  <c r="R104" i="9"/>
  <c r="Q104" i="9"/>
  <c r="P104" i="9"/>
  <c r="O104" i="9"/>
  <c r="R103" i="9"/>
  <c r="Q103" i="9"/>
  <c r="P103" i="9"/>
  <c r="O103" i="9"/>
  <c r="R102" i="9"/>
  <c r="Q102" i="9"/>
  <c r="P102" i="9"/>
  <c r="O102" i="9"/>
  <c r="R101" i="9"/>
  <c r="Q101" i="9"/>
  <c r="P101" i="9"/>
  <c r="O101" i="9"/>
  <c r="R100" i="9"/>
  <c r="Q100" i="9"/>
  <c r="P100" i="9"/>
  <c r="O100" i="9"/>
  <c r="R99" i="9"/>
  <c r="Q99" i="9"/>
  <c r="P99" i="9"/>
  <c r="O99" i="9"/>
  <c r="R98" i="9"/>
  <c r="Q98" i="9"/>
  <c r="P98" i="9"/>
  <c r="O98" i="9"/>
  <c r="R97" i="9"/>
  <c r="Q97" i="9"/>
  <c r="P97" i="9"/>
  <c r="O97" i="9"/>
  <c r="R96" i="9"/>
  <c r="Q96" i="9"/>
  <c r="P96" i="9"/>
  <c r="O96" i="9"/>
  <c r="R95" i="9"/>
  <c r="Q95" i="9"/>
  <c r="P95" i="9"/>
  <c r="O95" i="9"/>
  <c r="R94" i="9"/>
  <c r="Q94" i="9"/>
  <c r="P94" i="9"/>
  <c r="O94" i="9"/>
  <c r="R93" i="9"/>
  <c r="Q93" i="9"/>
  <c r="P93" i="9"/>
  <c r="O93" i="9"/>
  <c r="R92" i="9"/>
  <c r="Q92" i="9"/>
  <c r="P92" i="9"/>
  <c r="O92" i="9"/>
  <c r="R91" i="9"/>
  <c r="Q91" i="9"/>
  <c r="P91" i="9"/>
  <c r="O91" i="9"/>
  <c r="R90" i="9"/>
  <c r="Q90" i="9"/>
  <c r="P90" i="9"/>
  <c r="O90" i="9"/>
  <c r="R89" i="9"/>
  <c r="Q89" i="9"/>
  <c r="P89" i="9"/>
  <c r="O89" i="9"/>
  <c r="R88" i="9"/>
  <c r="Q88" i="9"/>
  <c r="P88" i="9"/>
  <c r="O88" i="9"/>
  <c r="R87" i="9"/>
  <c r="Q87" i="9"/>
  <c r="P87" i="9"/>
  <c r="O87" i="9"/>
  <c r="R86" i="9"/>
  <c r="Q86" i="9"/>
  <c r="P86" i="9"/>
  <c r="O86" i="9"/>
  <c r="R85" i="9"/>
  <c r="Q85" i="9"/>
  <c r="P85" i="9"/>
  <c r="O85" i="9"/>
  <c r="R84" i="9"/>
  <c r="Q84" i="9"/>
  <c r="P84" i="9"/>
  <c r="O84" i="9"/>
  <c r="R83" i="9"/>
  <c r="Q83" i="9"/>
  <c r="P83" i="9"/>
  <c r="O83" i="9"/>
  <c r="R82" i="9"/>
  <c r="Q82" i="9"/>
  <c r="P82" i="9"/>
  <c r="O82" i="9"/>
  <c r="R81" i="9"/>
  <c r="Q81" i="9"/>
  <c r="P81" i="9"/>
  <c r="O81" i="9"/>
  <c r="R80" i="9"/>
  <c r="Q80" i="9"/>
  <c r="P80" i="9"/>
  <c r="O80" i="9"/>
  <c r="R79" i="9"/>
  <c r="Q79" i="9"/>
  <c r="P79" i="9"/>
  <c r="O79" i="9"/>
  <c r="R78" i="9"/>
  <c r="Q78" i="9"/>
  <c r="P78" i="9"/>
  <c r="O78" i="9"/>
  <c r="R77" i="9"/>
  <c r="Q77" i="9"/>
  <c r="P77" i="9"/>
  <c r="O77" i="9"/>
  <c r="R76" i="9"/>
  <c r="Q76" i="9"/>
  <c r="P76" i="9"/>
  <c r="O76" i="9"/>
  <c r="R75" i="9"/>
  <c r="Q75" i="9"/>
  <c r="P75" i="9"/>
  <c r="O75" i="9"/>
  <c r="R74" i="9"/>
  <c r="Q74" i="9"/>
  <c r="P74" i="9"/>
  <c r="O74" i="9"/>
  <c r="R73" i="9"/>
  <c r="Q73" i="9"/>
  <c r="P73" i="9"/>
  <c r="O73" i="9"/>
  <c r="R72" i="9"/>
  <c r="Q72" i="9"/>
  <c r="P72" i="9"/>
  <c r="O72" i="9"/>
  <c r="R71" i="9"/>
  <c r="Q71" i="9"/>
  <c r="P71" i="9"/>
  <c r="O71" i="9"/>
  <c r="R70" i="9"/>
  <c r="Q70" i="9"/>
  <c r="P70" i="9"/>
  <c r="O70" i="9"/>
  <c r="R69" i="9"/>
  <c r="Q69" i="9"/>
  <c r="P69" i="9"/>
  <c r="O69" i="9"/>
  <c r="R68" i="9"/>
  <c r="Q68" i="9"/>
  <c r="P68" i="9"/>
  <c r="O68" i="9"/>
  <c r="R67" i="9"/>
  <c r="Q67" i="9"/>
  <c r="P67" i="9"/>
  <c r="O67" i="9"/>
  <c r="R66" i="9"/>
  <c r="Q66" i="9"/>
  <c r="P66" i="9"/>
  <c r="O66" i="9"/>
  <c r="R65" i="9"/>
  <c r="Q65" i="9"/>
  <c r="P65" i="9"/>
  <c r="O65" i="9"/>
  <c r="R64" i="9"/>
  <c r="Q64" i="9"/>
  <c r="P64" i="9"/>
  <c r="O64" i="9"/>
  <c r="R63" i="9"/>
  <c r="Q63" i="9"/>
  <c r="P63" i="9"/>
  <c r="O63" i="9"/>
  <c r="R62" i="9"/>
  <c r="Q62" i="9"/>
  <c r="P62" i="9"/>
  <c r="O62" i="9"/>
  <c r="R61" i="9"/>
  <c r="Q61" i="9"/>
  <c r="P61" i="9"/>
  <c r="O61" i="9"/>
  <c r="R60" i="9"/>
  <c r="Q60" i="9"/>
  <c r="P60" i="9"/>
  <c r="O60" i="9"/>
  <c r="R59" i="9"/>
  <c r="Q59" i="9"/>
  <c r="P59" i="9"/>
  <c r="O59" i="9"/>
  <c r="R58" i="9"/>
  <c r="Q58" i="9"/>
  <c r="P58" i="9"/>
  <c r="O58" i="9"/>
  <c r="R57" i="9"/>
  <c r="Q57" i="9"/>
  <c r="P57" i="9"/>
  <c r="O57" i="9"/>
  <c r="R56" i="9"/>
  <c r="Q56" i="9"/>
  <c r="P56" i="9"/>
  <c r="O56" i="9"/>
  <c r="R55" i="9"/>
  <c r="Q55" i="9"/>
  <c r="P55" i="9"/>
  <c r="O55" i="9"/>
  <c r="R54" i="9"/>
  <c r="Q54" i="9"/>
  <c r="P54" i="9"/>
  <c r="O54" i="9"/>
  <c r="R53" i="9"/>
  <c r="Q53" i="9"/>
  <c r="P53" i="9"/>
  <c r="O53" i="9"/>
  <c r="R52" i="9"/>
  <c r="Q52" i="9"/>
  <c r="P52" i="9"/>
  <c r="O52" i="9"/>
  <c r="R51" i="9"/>
  <c r="Q51" i="9"/>
  <c r="P51" i="9"/>
  <c r="O51" i="9"/>
  <c r="R50" i="9"/>
  <c r="Q50" i="9"/>
  <c r="P50" i="9"/>
  <c r="O50" i="9"/>
  <c r="R49" i="9"/>
  <c r="Q49" i="9"/>
  <c r="P49" i="9"/>
  <c r="O49" i="9"/>
  <c r="R48" i="9"/>
  <c r="Q48" i="9"/>
  <c r="P48" i="9"/>
  <c r="O48" i="9"/>
  <c r="R47" i="9"/>
  <c r="Q47" i="9"/>
  <c r="P47" i="9"/>
  <c r="O47" i="9"/>
  <c r="R46" i="9"/>
  <c r="Q46" i="9"/>
  <c r="P46" i="9"/>
  <c r="O46" i="9"/>
  <c r="R45" i="9"/>
  <c r="Q45" i="9"/>
  <c r="P45" i="9"/>
  <c r="O45" i="9"/>
  <c r="R44" i="9"/>
  <c r="Q44" i="9"/>
  <c r="P44" i="9"/>
  <c r="O44" i="9"/>
  <c r="R43" i="9"/>
  <c r="Q43" i="9"/>
  <c r="P43" i="9"/>
  <c r="O43" i="9"/>
  <c r="R42" i="9"/>
  <c r="Q42" i="9"/>
  <c r="P42" i="9"/>
  <c r="O42" i="9"/>
  <c r="R41" i="9"/>
  <c r="Q41" i="9"/>
  <c r="P41" i="9"/>
  <c r="O41" i="9"/>
  <c r="R40" i="9"/>
  <c r="Q40" i="9"/>
  <c r="P40" i="9"/>
  <c r="O40" i="9"/>
  <c r="R39" i="9"/>
  <c r="Q39" i="9"/>
  <c r="P39" i="9"/>
  <c r="O39" i="9"/>
  <c r="R38" i="9"/>
  <c r="Q38" i="9"/>
  <c r="P38" i="9"/>
  <c r="O38" i="9"/>
  <c r="R37" i="9"/>
  <c r="Q37" i="9"/>
  <c r="P37" i="9"/>
  <c r="O37" i="9"/>
  <c r="R36" i="9"/>
  <c r="Q36" i="9"/>
  <c r="P36" i="9"/>
  <c r="O36" i="9"/>
  <c r="R35" i="9"/>
  <c r="Q35" i="9"/>
  <c r="P35" i="9"/>
  <c r="O35" i="9"/>
  <c r="R34" i="9"/>
  <c r="Q34" i="9"/>
  <c r="P34" i="9"/>
  <c r="O34" i="9"/>
  <c r="R33" i="9"/>
  <c r="Q33" i="9"/>
  <c r="P33" i="9"/>
  <c r="O33" i="9"/>
  <c r="R32" i="9"/>
  <c r="Q32" i="9"/>
  <c r="P32" i="9"/>
  <c r="O32" i="9"/>
  <c r="R31" i="9"/>
  <c r="Q31" i="9"/>
  <c r="P31" i="9"/>
  <c r="O31" i="9"/>
  <c r="R30" i="9"/>
  <c r="Q30" i="9"/>
  <c r="P30" i="9"/>
  <c r="O30" i="9"/>
  <c r="R29" i="9"/>
  <c r="Q29" i="9"/>
  <c r="P29" i="9"/>
  <c r="O29" i="9"/>
  <c r="R28" i="9"/>
  <c r="Q28" i="9"/>
  <c r="P28" i="9"/>
  <c r="O28" i="9"/>
  <c r="R27" i="9"/>
  <c r="Q27" i="9"/>
  <c r="P27" i="9"/>
  <c r="O27" i="9"/>
  <c r="R26" i="9"/>
  <c r="Q26" i="9"/>
  <c r="P26" i="9"/>
  <c r="O26" i="9"/>
  <c r="R25" i="9"/>
  <c r="Q25" i="9"/>
  <c r="P25" i="9"/>
  <c r="O25" i="9"/>
  <c r="R24" i="9"/>
  <c r="Q24" i="9"/>
  <c r="P24" i="9"/>
  <c r="O24" i="9"/>
  <c r="R23" i="9"/>
  <c r="Q23" i="9"/>
  <c r="P23" i="9"/>
  <c r="O23" i="9"/>
  <c r="R22" i="9"/>
  <c r="Q22" i="9"/>
  <c r="P22" i="9"/>
  <c r="O22" i="9"/>
  <c r="R21" i="9"/>
  <c r="Q21" i="9"/>
  <c r="P21" i="9"/>
  <c r="O21" i="9"/>
  <c r="R20" i="9"/>
  <c r="Q20" i="9"/>
  <c r="P20" i="9"/>
  <c r="O20" i="9"/>
  <c r="R19" i="9"/>
  <c r="Q19" i="9"/>
  <c r="P19" i="9"/>
  <c r="O19" i="9"/>
  <c r="R18" i="9"/>
  <c r="Q18" i="9"/>
  <c r="P18" i="9"/>
  <c r="O18" i="9"/>
  <c r="R17" i="9"/>
  <c r="Q17" i="9"/>
  <c r="P17" i="9"/>
  <c r="O17" i="9"/>
  <c r="R16" i="9"/>
  <c r="Q16" i="9"/>
  <c r="P16" i="9"/>
  <c r="O16" i="9"/>
  <c r="R15" i="9"/>
  <c r="Q15" i="9"/>
  <c r="P15" i="9"/>
  <c r="O15" i="9"/>
  <c r="R14" i="9"/>
  <c r="Q14" i="9"/>
  <c r="P14" i="9"/>
  <c r="O14" i="9"/>
  <c r="R13" i="9"/>
  <c r="Q13" i="9"/>
  <c r="P13" i="9"/>
  <c r="O13" i="9"/>
  <c r="R12" i="9"/>
  <c r="Q12" i="9"/>
  <c r="P12" i="9"/>
  <c r="O12" i="9"/>
  <c r="R11" i="9"/>
  <c r="Q11" i="9"/>
  <c r="P11" i="9"/>
  <c r="O11" i="9"/>
  <c r="R10" i="9"/>
  <c r="Q10" i="9"/>
  <c r="P10" i="9"/>
  <c r="O10" i="9"/>
  <c r="R9" i="9"/>
  <c r="Q9" i="9"/>
  <c r="P9" i="9"/>
  <c r="O9" i="9"/>
  <c r="R8" i="9"/>
  <c r="Q8" i="9"/>
  <c r="P8" i="9"/>
  <c r="O8" i="9"/>
  <c r="R7" i="9"/>
  <c r="Q7" i="9"/>
  <c r="P7" i="9"/>
  <c r="O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S47" i="9" s="1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S134" i="9" s="1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7" i="9"/>
  <c r="E4" i="9"/>
  <c r="F4" i="9" s="1"/>
  <c r="G4" i="9" s="1"/>
  <c r="H4" i="9" s="1"/>
  <c r="I4" i="9" s="1"/>
  <c r="J4" i="9" s="1"/>
  <c r="K4" i="9" s="1"/>
  <c r="L4" i="9" s="1"/>
  <c r="M4" i="9" s="1"/>
  <c r="B3" i="1"/>
  <c r="W18" i="8"/>
  <c r="W19" i="8"/>
  <c r="W20" i="8"/>
  <c r="I43" i="2"/>
  <c r="D35" i="1"/>
  <c r="E35" i="1"/>
  <c r="E36" i="1"/>
  <c r="F36" i="1"/>
  <c r="G36" i="1"/>
  <c r="H36" i="1"/>
  <c r="I36" i="1"/>
  <c r="S5" i="10"/>
  <c r="T5" i="10"/>
  <c r="L5" i="10"/>
  <c r="B5" i="10" s="1"/>
  <c r="N132" i="9"/>
  <c r="T132" i="9" s="1"/>
  <c r="S132" i="9"/>
  <c r="N212" i="9"/>
  <c r="T212" i="9" s="1"/>
  <c r="S212" i="9"/>
  <c r="N47" i="9" l="1"/>
  <c r="T47" i="9" s="1"/>
  <c r="M47" i="9"/>
  <c r="G35" i="1"/>
  <c r="N232" i="9"/>
  <c r="T232" i="9" s="1"/>
  <c r="N157" i="9"/>
  <c r="T157" i="9" s="1"/>
  <c r="S207" i="9"/>
  <c r="S191" i="9"/>
  <c r="S175" i="9"/>
  <c r="S143" i="9"/>
  <c r="N125" i="9"/>
  <c r="T125" i="9" s="1"/>
  <c r="N117" i="9"/>
  <c r="T117" i="9" s="1"/>
  <c r="N109" i="9"/>
  <c r="T109" i="9" s="1"/>
  <c r="N101" i="9"/>
  <c r="T101" i="9" s="1"/>
  <c r="N93" i="9"/>
  <c r="T93" i="9" s="1"/>
  <c r="N85" i="9"/>
  <c r="T85" i="9" s="1"/>
  <c r="N77" i="9"/>
  <c r="T77" i="9" s="1"/>
  <c r="N69" i="9"/>
  <c r="T69" i="9" s="1"/>
  <c r="N61" i="9"/>
  <c r="T61" i="9" s="1"/>
  <c r="N53" i="9"/>
  <c r="T53" i="9" s="1"/>
  <c r="N44" i="9"/>
  <c r="T44" i="9" s="1"/>
  <c r="N36" i="9"/>
  <c r="T36" i="9" s="1"/>
  <c r="N20" i="9"/>
  <c r="T20" i="9" s="1"/>
  <c r="N60" i="9"/>
  <c r="T60" i="9" s="1"/>
  <c r="M60" i="9"/>
  <c r="M134" i="9"/>
  <c r="S363" i="9"/>
  <c r="S299" i="9"/>
  <c r="S259" i="9"/>
  <c r="S235" i="9"/>
  <c r="S227" i="9"/>
  <c r="S171" i="9"/>
  <c r="S40" i="9"/>
  <c r="S32" i="9"/>
  <c r="M157" i="9"/>
  <c r="M117" i="9"/>
  <c r="M93" i="9"/>
  <c r="M85" i="9"/>
  <c r="S339" i="9"/>
  <c r="S315" i="9"/>
  <c r="S200" i="9"/>
  <c r="S176" i="9"/>
  <c r="M212" i="9"/>
  <c r="M132" i="9"/>
  <c r="M20" i="9"/>
  <c r="S331" i="9"/>
  <c r="S323" i="9"/>
  <c r="S253" i="9"/>
  <c r="S189" i="9"/>
  <c r="S112" i="9"/>
  <c r="S96" i="9"/>
  <c r="S80" i="9"/>
  <c r="S196" i="9"/>
  <c r="S164" i="9"/>
  <c r="S156" i="9"/>
  <c r="S148" i="9"/>
  <c r="M232" i="9"/>
  <c r="S320" i="9"/>
  <c r="S312" i="9"/>
  <c r="S280" i="9"/>
  <c r="S256" i="9"/>
  <c r="S248" i="9"/>
  <c r="S240" i="9"/>
  <c r="S152" i="9"/>
  <c r="S144" i="9"/>
  <c r="S118" i="9"/>
  <c r="S37" i="9"/>
  <c r="S29" i="9"/>
  <c r="S21" i="9"/>
  <c r="S309" i="9"/>
  <c r="S301" i="9"/>
  <c r="S285" i="9"/>
  <c r="S277" i="9"/>
  <c r="S237" i="9"/>
  <c r="S205" i="9"/>
  <c r="S197" i="9"/>
  <c r="S181" i="9"/>
  <c r="S349" i="9"/>
  <c r="S317" i="9"/>
  <c r="S11" i="9"/>
  <c r="S354" i="9"/>
  <c r="S330" i="9"/>
  <c r="S322" i="9"/>
  <c r="S314" i="9"/>
  <c r="S242" i="9"/>
  <c r="S234" i="9"/>
  <c r="S226" i="9"/>
  <c r="S162" i="9"/>
  <c r="S154" i="9"/>
  <c r="S88" i="9"/>
  <c r="S56" i="9"/>
  <c r="S48" i="9"/>
  <c r="N134" i="9"/>
  <c r="T134" i="9" s="1"/>
  <c r="S351" i="9"/>
  <c r="S343" i="9"/>
  <c r="S335" i="9"/>
  <c r="S303" i="9"/>
  <c r="S287" i="9"/>
  <c r="S279" i="9"/>
  <c r="S271" i="9"/>
  <c r="S239" i="9"/>
  <c r="S223" i="9"/>
  <c r="S215" i="9"/>
  <c r="S364" i="9"/>
  <c r="S332" i="9"/>
  <c r="S324" i="9"/>
  <c r="S300" i="9"/>
  <c r="S292" i="9"/>
  <c r="S276" i="9"/>
  <c r="S268" i="9"/>
  <c r="S260" i="9"/>
  <c r="S352" i="9"/>
  <c r="S8" i="9"/>
  <c r="S372" i="9"/>
  <c r="S356" i="9"/>
  <c r="S305" i="9"/>
  <c r="S297" i="9"/>
  <c r="S281" i="9"/>
  <c r="S273" i="9"/>
  <c r="S265" i="9"/>
  <c r="S217" i="9"/>
  <c r="S211" i="9"/>
  <c r="S193" i="9"/>
  <c r="S177" i="9"/>
  <c r="S169" i="9"/>
  <c r="S161" i="9"/>
  <c r="S127" i="9"/>
  <c r="S119" i="9"/>
  <c r="S103" i="9"/>
  <c r="S76" i="9"/>
  <c r="S373" i="9"/>
  <c r="S342" i="9"/>
  <c r="S334" i="9"/>
  <c r="S302" i="9"/>
  <c r="S278" i="9"/>
  <c r="S270" i="9"/>
  <c r="S262" i="9"/>
  <c r="S100" i="9"/>
  <c r="S84" i="9"/>
  <c r="S68" i="9"/>
  <c r="S52" i="9"/>
  <c r="S90" i="9"/>
  <c r="S74" i="9"/>
  <c r="S41" i="9"/>
  <c r="S25" i="9"/>
  <c r="S17" i="9"/>
  <c r="S252" i="9"/>
  <c r="S71" i="9"/>
  <c r="S55" i="9"/>
  <c r="S38" i="9"/>
  <c r="S30" i="9"/>
  <c r="S254" i="9"/>
  <c r="S238" i="9"/>
  <c r="S206" i="9"/>
  <c r="S174" i="9"/>
  <c r="S158" i="9"/>
  <c r="S150" i="9"/>
  <c r="S19" i="9"/>
  <c r="S97" i="9"/>
  <c r="S49" i="9"/>
  <c r="S94" i="9"/>
  <c r="S70" i="9"/>
  <c r="S236" i="9"/>
  <c r="S14" i="9"/>
  <c r="S115" i="9"/>
  <c r="S91" i="9"/>
  <c r="S75" i="9"/>
  <c r="S42" i="9"/>
  <c r="S26" i="9"/>
  <c r="S282" i="9"/>
  <c r="S353" i="9"/>
  <c r="S345" i="9"/>
  <c r="S337" i="9"/>
  <c r="S13" i="9"/>
  <c r="S370" i="9"/>
  <c r="S348" i="9"/>
  <c r="S340" i="9"/>
  <c r="S328" i="9"/>
  <c r="S326" i="9"/>
  <c r="S318" i="9"/>
  <c r="S316" i="9"/>
  <c r="S304" i="9"/>
  <c r="S296" i="9"/>
  <c r="S284" i="9"/>
  <c r="S266" i="9"/>
  <c r="S264" i="9"/>
  <c r="S258" i="9"/>
  <c r="S250" i="9"/>
  <c r="S232" i="9"/>
  <c r="S204" i="9"/>
  <c r="S190" i="9"/>
  <c r="S184" i="9"/>
  <c r="S180" i="9"/>
  <c r="S172" i="9"/>
  <c r="S20" i="9"/>
  <c r="S16" i="9"/>
  <c r="S12" i="9"/>
  <c r="S295" i="9"/>
  <c r="S293" i="9"/>
  <c r="S289" i="9"/>
  <c r="S283" i="9"/>
  <c r="S275" i="9"/>
  <c r="S269" i="9"/>
  <c r="S267" i="9"/>
  <c r="S263" i="9"/>
  <c r="S261" i="9"/>
  <c r="S251" i="9"/>
  <c r="S245" i="9"/>
  <c r="S231" i="9"/>
  <c r="S355" i="9"/>
  <c r="S333" i="9"/>
  <c r="S371" i="9"/>
  <c r="S359" i="9"/>
  <c r="S321" i="9"/>
  <c r="S225" i="9"/>
  <c r="S221" i="9"/>
  <c r="S213" i="9"/>
  <c r="S203" i="9"/>
  <c r="S199" i="9"/>
  <c r="S195" i="9"/>
  <c r="S185" i="9"/>
  <c r="S183" i="9"/>
  <c r="S179" i="9"/>
  <c r="S163" i="9"/>
  <c r="S159" i="9"/>
  <c r="S157" i="9"/>
  <c r="S151" i="9"/>
  <c r="S145" i="9"/>
  <c r="S135" i="9"/>
  <c r="S131" i="9"/>
  <c r="S117" i="9"/>
  <c r="S113" i="9"/>
  <c r="S111" i="9"/>
  <c r="S107" i="9"/>
  <c r="S99" i="9"/>
  <c r="S93" i="9"/>
  <c r="S170" i="9"/>
  <c r="S168" i="9"/>
  <c r="S160" i="9"/>
  <c r="S146" i="9"/>
  <c r="S140" i="9"/>
  <c r="S136" i="9"/>
  <c r="S133" i="9"/>
  <c r="S128" i="9"/>
  <c r="S124" i="9"/>
  <c r="S98" i="9"/>
  <c r="S92" i="9"/>
  <c r="S86" i="9"/>
  <c r="S66" i="9"/>
  <c r="S64" i="9"/>
  <c r="S60" i="9"/>
  <c r="S54" i="9"/>
  <c r="S45" i="9"/>
  <c r="S43" i="9"/>
  <c r="S39" i="9"/>
  <c r="S35" i="9"/>
  <c r="S31" i="9"/>
  <c r="S89" i="9"/>
  <c r="S87" i="9"/>
  <c r="S85" i="9"/>
  <c r="S79" i="9"/>
  <c r="S77" i="9"/>
  <c r="S69" i="9"/>
  <c r="S67" i="9"/>
  <c r="S65" i="9"/>
  <c r="S57" i="9"/>
  <c r="S53" i="9"/>
  <c r="S51" i="9"/>
  <c r="S46" i="9"/>
  <c r="S44" i="9"/>
  <c r="S125" i="9" l="1"/>
  <c r="M77" i="9"/>
  <c r="M125" i="9"/>
  <c r="S61" i="9"/>
  <c r="S7" i="9"/>
  <c r="I35" i="1"/>
  <c r="M53" i="9"/>
  <c r="M61" i="9"/>
  <c r="M69" i="9"/>
  <c r="M36" i="9"/>
  <c r="N151" i="9"/>
  <c r="T151" i="9" s="1"/>
  <c r="M151" i="9"/>
  <c r="N159" i="9"/>
  <c r="T159" i="9" s="1"/>
  <c r="M159" i="9"/>
  <c r="N167" i="9"/>
  <c r="T167" i="9" s="1"/>
  <c r="M167" i="9"/>
  <c r="M44" i="9"/>
  <c r="M101" i="9"/>
  <c r="N175" i="9"/>
  <c r="T175" i="9" s="1"/>
  <c r="M175" i="9"/>
  <c r="S101" i="9"/>
  <c r="M109" i="9"/>
  <c r="N183" i="9"/>
  <c r="T183" i="9" s="1"/>
  <c r="M183" i="9"/>
  <c r="S36" i="9"/>
  <c r="N191" i="9"/>
  <c r="T191" i="9" s="1"/>
  <c r="M191" i="9"/>
  <c r="S167" i="9"/>
  <c r="N135" i="9"/>
  <c r="T135" i="9" s="1"/>
  <c r="M135" i="9"/>
  <c r="N199" i="9"/>
  <c r="T199" i="9" s="1"/>
  <c r="M199" i="9"/>
  <c r="S109" i="9"/>
  <c r="N143" i="9"/>
  <c r="T143" i="9" s="1"/>
  <c r="M143" i="9"/>
  <c r="N207" i="9"/>
  <c r="T207" i="9" s="1"/>
  <c r="M207" i="9"/>
  <c r="N65" i="9"/>
  <c r="T65" i="9" s="1"/>
  <c r="M65" i="9"/>
  <c r="N87" i="9"/>
  <c r="T87" i="9" s="1"/>
  <c r="M87" i="9"/>
  <c r="N358" i="9"/>
  <c r="T358" i="9" s="1"/>
  <c r="M358" i="9"/>
  <c r="N365" i="9"/>
  <c r="T365" i="9" s="1"/>
  <c r="M365" i="9"/>
  <c r="N357" i="9"/>
  <c r="T357" i="9" s="1"/>
  <c r="M357" i="9"/>
  <c r="N107" i="9"/>
  <c r="T107" i="9" s="1"/>
  <c r="M107" i="9"/>
  <c r="N272" i="9"/>
  <c r="T272" i="9" s="1"/>
  <c r="M272" i="9"/>
  <c r="N291" i="9"/>
  <c r="T291" i="9" s="1"/>
  <c r="M291" i="9"/>
  <c r="N139" i="9"/>
  <c r="T139" i="9" s="1"/>
  <c r="M139" i="9"/>
  <c r="N214" i="9"/>
  <c r="T214" i="9" s="1"/>
  <c r="M214" i="9"/>
  <c r="N108" i="9"/>
  <c r="T108" i="9" s="1"/>
  <c r="M108" i="9"/>
  <c r="N127" i="9"/>
  <c r="T127" i="9" s="1"/>
  <c r="M127" i="9"/>
  <c r="N352" i="9"/>
  <c r="T352" i="9" s="1"/>
  <c r="M352" i="9"/>
  <c r="N247" i="9"/>
  <c r="T247" i="9" s="1"/>
  <c r="M247" i="9"/>
  <c r="N311" i="9"/>
  <c r="T311" i="9" s="1"/>
  <c r="M311" i="9"/>
  <c r="N186" i="9"/>
  <c r="T186" i="9" s="1"/>
  <c r="M186" i="9"/>
  <c r="N141" i="9"/>
  <c r="T141" i="9" s="1"/>
  <c r="M141" i="9"/>
  <c r="N309" i="9"/>
  <c r="T309" i="9" s="1"/>
  <c r="M309" i="9"/>
  <c r="N208" i="9"/>
  <c r="T208" i="9" s="1"/>
  <c r="M208" i="9"/>
  <c r="N344" i="9"/>
  <c r="T344" i="9" s="1"/>
  <c r="M344" i="9"/>
  <c r="N165" i="9"/>
  <c r="T165" i="9" s="1"/>
  <c r="M165" i="9"/>
  <c r="N299" i="9"/>
  <c r="T299" i="9" s="1"/>
  <c r="M299" i="9"/>
  <c r="S186" i="9"/>
  <c r="S208" i="9"/>
  <c r="N138" i="9"/>
  <c r="T138" i="9" s="1"/>
  <c r="M138" i="9"/>
  <c r="N298" i="9"/>
  <c r="T298" i="9" s="1"/>
  <c r="M298" i="9"/>
  <c r="N123" i="9"/>
  <c r="T123" i="9" s="1"/>
  <c r="M123" i="9"/>
  <c r="N78" i="9"/>
  <c r="T78" i="9" s="1"/>
  <c r="M78" i="9"/>
  <c r="N81" i="9"/>
  <c r="T81" i="9" s="1"/>
  <c r="M81" i="9"/>
  <c r="N147" i="9"/>
  <c r="T147" i="9" s="1"/>
  <c r="M147" i="9"/>
  <c r="N158" i="9"/>
  <c r="T158" i="9" s="1"/>
  <c r="M158" i="9"/>
  <c r="N222" i="9"/>
  <c r="T222" i="9" s="1"/>
  <c r="M222" i="9"/>
  <c r="N38" i="9"/>
  <c r="T38" i="9" s="1"/>
  <c r="M38" i="9"/>
  <c r="N137" i="9"/>
  <c r="T137" i="9" s="1"/>
  <c r="M137" i="9"/>
  <c r="N58" i="9"/>
  <c r="T58" i="9" s="1"/>
  <c r="M58" i="9"/>
  <c r="N122" i="9"/>
  <c r="T122" i="9" s="1"/>
  <c r="M122" i="9"/>
  <c r="N116" i="9"/>
  <c r="T116" i="9" s="1"/>
  <c r="M116" i="9"/>
  <c r="N310" i="9"/>
  <c r="T310" i="9" s="1"/>
  <c r="M310" i="9"/>
  <c r="N374" i="9"/>
  <c r="T374" i="9" s="1"/>
  <c r="M374" i="9"/>
  <c r="N153" i="9"/>
  <c r="T153" i="9" s="1"/>
  <c r="M153" i="9"/>
  <c r="N201" i="9"/>
  <c r="T201" i="9" s="1"/>
  <c r="M201" i="9"/>
  <c r="N249" i="9"/>
  <c r="T249" i="9" s="1"/>
  <c r="M249" i="9"/>
  <c r="N313" i="9"/>
  <c r="T313" i="9" s="1"/>
  <c r="M313" i="9"/>
  <c r="N368" i="9"/>
  <c r="T368" i="9" s="1"/>
  <c r="M368" i="9"/>
  <c r="N308" i="9"/>
  <c r="T308" i="9" s="1"/>
  <c r="M308" i="9"/>
  <c r="N341" i="9"/>
  <c r="T341" i="9" s="1"/>
  <c r="M341" i="9"/>
  <c r="N255" i="9"/>
  <c r="T255" i="9" s="1"/>
  <c r="M255" i="9"/>
  <c r="N319" i="9"/>
  <c r="T319" i="9" s="1"/>
  <c r="M319" i="9"/>
  <c r="N23" i="9"/>
  <c r="T23" i="9" s="1"/>
  <c r="M23" i="9"/>
  <c r="N104" i="9"/>
  <c r="T104" i="9" s="1"/>
  <c r="M104" i="9"/>
  <c r="N202" i="9"/>
  <c r="T202" i="9" s="1"/>
  <c r="M202" i="9"/>
  <c r="N290" i="9"/>
  <c r="T290" i="9" s="1"/>
  <c r="M290" i="9"/>
  <c r="N362" i="9"/>
  <c r="T362" i="9" s="1"/>
  <c r="M362" i="9"/>
  <c r="N149" i="9"/>
  <c r="T149" i="9" s="1"/>
  <c r="M149" i="9"/>
  <c r="N245" i="9"/>
  <c r="T245" i="9" s="1"/>
  <c r="M245" i="9"/>
  <c r="N325" i="9"/>
  <c r="T325" i="9" s="1"/>
  <c r="M325" i="9"/>
  <c r="N126" i="9"/>
  <c r="T126" i="9" s="1"/>
  <c r="M126" i="9"/>
  <c r="N216" i="9"/>
  <c r="T216" i="9" s="1"/>
  <c r="M216" i="9"/>
  <c r="N288" i="9"/>
  <c r="T288" i="9" s="1"/>
  <c r="M288" i="9"/>
  <c r="N196" i="9"/>
  <c r="T196" i="9" s="1"/>
  <c r="M196" i="9"/>
  <c r="N189" i="9"/>
  <c r="T189" i="9" s="1"/>
  <c r="M189" i="9"/>
  <c r="N339" i="9"/>
  <c r="T339" i="9" s="1"/>
  <c r="M339" i="9"/>
  <c r="N40" i="9"/>
  <c r="T40" i="9" s="1"/>
  <c r="M40" i="9"/>
  <c r="N235" i="9"/>
  <c r="T235" i="9" s="1"/>
  <c r="M235" i="9"/>
  <c r="N363" i="9"/>
  <c r="T363" i="9" s="1"/>
  <c r="M363" i="9"/>
  <c r="N62" i="9"/>
  <c r="T62" i="9" s="1"/>
  <c r="M62" i="9"/>
  <c r="N206" i="9"/>
  <c r="T206" i="9" s="1"/>
  <c r="M206" i="9"/>
  <c r="N106" i="9"/>
  <c r="T106" i="9" s="1"/>
  <c r="M106" i="9"/>
  <c r="N241" i="9"/>
  <c r="T241" i="9" s="1"/>
  <c r="M241" i="9"/>
  <c r="N239" i="9"/>
  <c r="T239" i="9" s="1"/>
  <c r="M239" i="9"/>
  <c r="N346" i="9"/>
  <c r="T346" i="9" s="1"/>
  <c r="M346" i="9"/>
  <c r="N192" i="9"/>
  <c r="T192" i="9" s="1"/>
  <c r="M192" i="9"/>
  <c r="N347" i="9"/>
  <c r="T347" i="9" s="1"/>
  <c r="M347" i="9"/>
  <c r="N219" i="9"/>
  <c r="T219" i="9" s="1"/>
  <c r="M219" i="9"/>
  <c r="N73" i="9"/>
  <c r="T73" i="9" s="1"/>
  <c r="M73" i="9"/>
  <c r="N95" i="9"/>
  <c r="T95" i="9" s="1"/>
  <c r="M95" i="9"/>
  <c r="N302" i="9"/>
  <c r="T302" i="9" s="1"/>
  <c r="M302" i="9"/>
  <c r="N243" i="9"/>
  <c r="T243" i="9" s="1"/>
  <c r="M243" i="9"/>
  <c r="N354" i="9"/>
  <c r="T354" i="9" s="1"/>
  <c r="M354" i="9"/>
  <c r="N237" i="9"/>
  <c r="T237" i="9" s="1"/>
  <c r="M237" i="9"/>
  <c r="N118" i="9"/>
  <c r="T118" i="9" s="1"/>
  <c r="M118" i="9"/>
  <c r="N280" i="9"/>
  <c r="T280" i="9" s="1"/>
  <c r="M280" i="9"/>
  <c r="N188" i="9"/>
  <c r="T188" i="9" s="1"/>
  <c r="M188" i="9"/>
  <c r="N227" i="9"/>
  <c r="T227" i="9" s="1"/>
  <c r="M227" i="9"/>
  <c r="S106" i="9"/>
  <c r="S95" i="9"/>
  <c r="S241" i="9"/>
  <c r="S188" i="9"/>
  <c r="S214" i="9"/>
  <c r="N329" i="9"/>
  <c r="T329" i="9" s="1"/>
  <c r="M329" i="9"/>
  <c r="N194" i="9"/>
  <c r="T194" i="9" s="1"/>
  <c r="M194" i="9"/>
  <c r="N18" i="9"/>
  <c r="T18" i="9" s="1"/>
  <c r="M18" i="9"/>
  <c r="N67" i="9"/>
  <c r="T67" i="9" s="1"/>
  <c r="M67" i="9"/>
  <c r="N131" i="9"/>
  <c r="T131" i="9" s="1"/>
  <c r="M131" i="9"/>
  <c r="N86" i="9"/>
  <c r="T86" i="9" s="1"/>
  <c r="M86" i="9"/>
  <c r="N89" i="9"/>
  <c r="T89" i="9" s="1"/>
  <c r="M89" i="9"/>
  <c r="N228" i="9"/>
  <c r="T228" i="9" s="1"/>
  <c r="M228" i="9"/>
  <c r="N166" i="9"/>
  <c r="T166" i="9" s="1"/>
  <c r="M166" i="9"/>
  <c r="N230" i="9"/>
  <c r="T230" i="9" s="1"/>
  <c r="M230" i="9"/>
  <c r="N46" i="9"/>
  <c r="T46" i="9" s="1"/>
  <c r="M46" i="9"/>
  <c r="N220" i="9"/>
  <c r="T220" i="9" s="1"/>
  <c r="M220" i="9"/>
  <c r="N66" i="9"/>
  <c r="T66" i="9" s="1"/>
  <c r="M66" i="9"/>
  <c r="N130" i="9"/>
  <c r="T130" i="9" s="1"/>
  <c r="M130" i="9"/>
  <c r="N124" i="9"/>
  <c r="T124" i="9" s="1"/>
  <c r="M124" i="9"/>
  <c r="N318" i="9"/>
  <c r="T318" i="9" s="1"/>
  <c r="M318" i="9"/>
  <c r="N367" i="9"/>
  <c r="T367" i="9" s="1"/>
  <c r="M367" i="9"/>
  <c r="N155" i="9"/>
  <c r="T155" i="9" s="1"/>
  <c r="M155" i="9"/>
  <c r="N209" i="9"/>
  <c r="T209" i="9" s="1"/>
  <c r="M209" i="9"/>
  <c r="N257" i="9"/>
  <c r="T257" i="9" s="1"/>
  <c r="M257" i="9"/>
  <c r="N321" i="9"/>
  <c r="T321" i="9" s="1"/>
  <c r="M321" i="9"/>
  <c r="N244" i="9"/>
  <c r="T244" i="9" s="1"/>
  <c r="M244" i="9"/>
  <c r="N316" i="9"/>
  <c r="T316" i="9" s="1"/>
  <c r="M316" i="9"/>
  <c r="N28" i="9"/>
  <c r="T28" i="9" s="1"/>
  <c r="M28" i="9"/>
  <c r="N263" i="9"/>
  <c r="T263" i="9" s="1"/>
  <c r="M263" i="9"/>
  <c r="N327" i="9"/>
  <c r="T327" i="9" s="1"/>
  <c r="M327" i="9"/>
  <c r="N31" i="9"/>
  <c r="T31" i="9" s="1"/>
  <c r="M31" i="9"/>
  <c r="N120" i="9"/>
  <c r="T120" i="9" s="1"/>
  <c r="M120" i="9"/>
  <c r="N218" i="9"/>
  <c r="T218" i="9" s="1"/>
  <c r="M218" i="9"/>
  <c r="N306" i="9"/>
  <c r="T306" i="9" s="1"/>
  <c r="M306" i="9"/>
  <c r="N370" i="9"/>
  <c r="T370" i="9" s="1"/>
  <c r="M370" i="9"/>
  <c r="N173" i="9"/>
  <c r="T173" i="9" s="1"/>
  <c r="M173" i="9"/>
  <c r="N261" i="9"/>
  <c r="T261" i="9" s="1"/>
  <c r="M261" i="9"/>
  <c r="N9" i="9"/>
  <c r="T9" i="9" s="1"/>
  <c r="M9" i="9"/>
  <c r="N136" i="9"/>
  <c r="T136" i="9" s="1"/>
  <c r="M136" i="9"/>
  <c r="N224" i="9"/>
  <c r="T224" i="9" s="1"/>
  <c r="M224" i="9"/>
  <c r="N296" i="9"/>
  <c r="T296" i="9" s="1"/>
  <c r="M296" i="9"/>
  <c r="N140" i="9"/>
  <c r="T140" i="9" s="1"/>
  <c r="M140" i="9"/>
  <c r="N204" i="9"/>
  <c r="T204" i="9" s="1"/>
  <c r="M204" i="9"/>
  <c r="N221" i="9"/>
  <c r="T221" i="9" s="1"/>
  <c r="M221" i="9"/>
  <c r="N371" i="9"/>
  <c r="T371" i="9" s="1"/>
  <c r="M371" i="9"/>
  <c r="N163" i="9"/>
  <c r="T163" i="9" s="1"/>
  <c r="M163" i="9"/>
  <c r="N251" i="9"/>
  <c r="T251" i="9" s="1"/>
  <c r="M251" i="9"/>
  <c r="N12" i="9"/>
  <c r="T12" i="9" s="1"/>
  <c r="M12" i="9"/>
  <c r="N305" i="9"/>
  <c r="T305" i="9" s="1"/>
  <c r="M305" i="9"/>
  <c r="S108" i="9"/>
  <c r="S141" i="9"/>
  <c r="S165" i="9"/>
  <c r="S219" i="9"/>
  <c r="S243" i="9"/>
  <c r="S365" i="9"/>
  <c r="N337" i="9"/>
  <c r="T337" i="9" s="1"/>
  <c r="M337" i="9"/>
  <c r="N26" i="9"/>
  <c r="T26" i="9" s="1"/>
  <c r="M26" i="9"/>
  <c r="N75" i="9"/>
  <c r="T75" i="9" s="1"/>
  <c r="M75" i="9"/>
  <c r="N14" i="9"/>
  <c r="T14" i="9" s="1"/>
  <c r="M14" i="9"/>
  <c r="N94" i="9"/>
  <c r="T94" i="9" s="1"/>
  <c r="M94" i="9"/>
  <c r="N97" i="9"/>
  <c r="T97" i="9" s="1"/>
  <c r="M97" i="9"/>
  <c r="N19" i="9"/>
  <c r="T19" i="9" s="1"/>
  <c r="M19" i="9"/>
  <c r="N174" i="9"/>
  <c r="T174" i="9" s="1"/>
  <c r="M174" i="9"/>
  <c r="N238" i="9"/>
  <c r="T238" i="9" s="1"/>
  <c r="M238" i="9"/>
  <c r="N55" i="9"/>
  <c r="T55" i="9" s="1"/>
  <c r="M55" i="9"/>
  <c r="N252" i="9"/>
  <c r="T252" i="9" s="1"/>
  <c r="M252" i="9"/>
  <c r="N74" i="9"/>
  <c r="T74" i="9" s="1"/>
  <c r="M74" i="9"/>
  <c r="N52" i="9"/>
  <c r="T52" i="9" s="1"/>
  <c r="M52" i="9"/>
  <c r="N262" i="9"/>
  <c r="T262" i="9" s="1"/>
  <c r="M262" i="9"/>
  <c r="N326" i="9"/>
  <c r="T326" i="9" s="1"/>
  <c r="M326" i="9"/>
  <c r="N373" i="9"/>
  <c r="T373" i="9" s="1"/>
  <c r="M373" i="9"/>
  <c r="N161" i="9"/>
  <c r="T161" i="9" s="1"/>
  <c r="M161" i="9"/>
  <c r="N211" i="9"/>
  <c r="T211" i="9" s="1"/>
  <c r="M211" i="9"/>
  <c r="N265" i="9"/>
  <c r="T265" i="9" s="1"/>
  <c r="M265" i="9"/>
  <c r="N356" i="9"/>
  <c r="T356" i="9" s="1"/>
  <c r="M356" i="9"/>
  <c r="N260" i="9"/>
  <c r="T260" i="9" s="1"/>
  <c r="M260" i="9"/>
  <c r="N324" i="9"/>
  <c r="T324" i="9" s="1"/>
  <c r="M324" i="9"/>
  <c r="N145" i="9"/>
  <c r="T145" i="9" s="1"/>
  <c r="M145" i="9"/>
  <c r="N271" i="9"/>
  <c r="T271" i="9" s="1"/>
  <c r="M271" i="9"/>
  <c r="N335" i="9"/>
  <c r="T335" i="9" s="1"/>
  <c r="M335" i="9"/>
  <c r="N39" i="9"/>
  <c r="T39" i="9" s="1"/>
  <c r="M39" i="9"/>
  <c r="N146" i="9"/>
  <c r="T146" i="9" s="1"/>
  <c r="M146" i="9"/>
  <c r="N226" i="9"/>
  <c r="T226" i="9" s="1"/>
  <c r="M226" i="9"/>
  <c r="N314" i="9"/>
  <c r="T314" i="9" s="1"/>
  <c r="M314" i="9"/>
  <c r="N11" i="9"/>
  <c r="T11" i="9" s="1"/>
  <c r="M11" i="9"/>
  <c r="N181" i="9"/>
  <c r="T181" i="9" s="1"/>
  <c r="M181" i="9"/>
  <c r="N269" i="9"/>
  <c r="T269" i="9" s="1"/>
  <c r="M269" i="9"/>
  <c r="N21" i="9"/>
  <c r="T21" i="9" s="1"/>
  <c r="M21" i="9"/>
  <c r="N144" i="9"/>
  <c r="T144" i="9" s="1"/>
  <c r="M144" i="9"/>
  <c r="N240" i="9"/>
  <c r="T240" i="9" s="1"/>
  <c r="M240" i="9"/>
  <c r="N304" i="9"/>
  <c r="T304" i="9" s="1"/>
  <c r="M304" i="9"/>
  <c r="N148" i="9"/>
  <c r="T148" i="9" s="1"/>
  <c r="M148" i="9"/>
  <c r="N80" i="9"/>
  <c r="T80" i="9" s="1"/>
  <c r="M80" i="9"/>
  <c r="N253" i="9"/>
  <c r="T253" i="9" s="1"/>
  <c r="M253" i="9"/>
  <c r="N171" i="9"/>
  <c r="T171" i="9" s="1"/>
  <c r="M171" i="9"/>
  <c r="N259" i="9"/>
  <c r="T259" i="9" s="1"/>
  <c r="M259" i="9"/>
  <c r="N142" i="9"/>
  <c r="T142" i="9" s="1"/>
  <c r="M142" i="9"/>
  <c r="N100" i="9"/>
  <c r="T100" i="9" s="1"/>
  <c r="M100" i="9"/>
  <c r="N187" i="9"/>
  <c r="T187" i="9" s="1"/>
  <c r="M187" i="9"/>
  <c r="N364" i="9"/>
  <c r="T364" i="9" s="1"/>
  <c r="M364" i="9"/>
  <c r="N178" i="9"/>
  <c r="T178" i="9" s="1"/>
  <c r="M178" i="9"/>
  <c r="N110" i="9"/>
  <c r="T110" i="9" s="1"/>
  <c r="M110" i="9"/>
  <c r="N180" i="9"/>
  <c r="T180" i="9" s="1"/>
  <c r="M180" i="9"/>
  <c r="N307" i="9"/>
  <c r="T307" i="9" s="1"/>
  <c r="M307" i="9"/>
  <c r="S62" i="9"/>
  <c r="N282" i="9"/>
  <c r="T282" i="9" s="1"/>
  <c r="M282" i="9"/>
  <c r="N114" i="9"/>
  <c r="T114" i="9" s="1"/>
  <c r="M114" i="9"/>
  <c r="N32" i="9"/>
  <c r="T32" i="9" s="1"/>
  <c r="M32" i="9"/>
  <c r="S110" i="9"/>
  <c r="S347" i="9"/>
  <c r="S192" i="9"/>
  <c r="N345" i="9"/>
  <c r="T345" i="9" s="1"/>
  <c r="M345" i="9"/>
  <c r="N210" i="9"/>
  <c r="T210" i="9" s="1"/>
  <c r="M210" i="9"/>
  <c r="N34" i="9"/>
  <c r="T34" i="9" s="1"/>
  <c r="M34" i="9"/>
  <c r="N83" i="9"/>
  <c r="T83" i="9" s="1"/>
  <c r="M83" i="9"/>
  <c r="N10" i="9"/>
  <c r="T10" i="9" s="1"/>
  <c r="M10" i="9"/>
  <c r="N102" i="9"/>
  <c r="T102" i="9" s="1"/>
  <c r="M102" i="9"/>
  <c r="N105" i="9"/>
  <c r="T105" i="9" s="1"/>
  <c r="M105" i="9"/>
  <c r="N27" i="9"/>
  <c r="T27" i="9" s="1"/>
  <c r="M27" i="9"/>
  <c r="N182" i="9"/>
  <c r="T182" i="9" s="1"/>
  <c r="M182" i="9"/>
  <c r="N246" i="9"/>
  <c r="T246" i="9" s="1"/>
  <c r="M246" i="9"/>
  <c r="N63" i="9"/>
  <c r="T63" i="9" s="1"/>
  <c r="M63" i="9"/>
  <c r="N17" i="9"/>
  <c r="T17" i="9" s="1"/>
  <c r="M17" i="9"/>
  <c r="N82" i="9"/>
  <c r="T82" i="9" s="1"/>
  <c r="M82" i="9"/>
  <c r="N68" i="9"/>
  <c r="T68" i="9" s="1"/>
  <c r="M68" i="9"/>
  <c r="N270" i="9"/>
  <c r="T270" i="9" s="1"/>
  <c r="M270" i="9"/>
  <c r="N334" i="9"/>
  <c r="T334" i="9" s="1"/>
  <c r="M334" i="9"/>
  <c r="N76" i="9"/>
  <c r="T76" i="9" s="1"/>
  <c r="M76" i="9"/>
  <c r="N169" i="9"/>
  <c r="T169" i="9" s="1"/>
  <c r="M169" i="9"/>
  <c r="N217" i="9"/>
  <c r="T217" i="9" s="1"/>
  <c r="M217" i="9"/>
  <c r="N273" i="9"/>
  <c r="T273" i="9" s="1"/>
  <c r="M273" i="9"/>
  <c r="N372" i="9"/>
  <c r="T372" i="9" s="1"/>
  <c r="M372" i="9"/>
  <c r="N268" i="9"/>
  <c r="T268" i="9" s="1"/>
  <c r="M268" i="9"/>
  <c r="N332" i="9"/>
  <c r="T332" i="9" s="1"/>
  <c r="M332" i="9"/>
  <c r="N215" i="9"/>
  <c r="T215" i="9" s="1"/>
  <c r="M215" i="9"/>
  <c r="N279" i="9"/>
  <c r="T279" i="9" s="1"/>
  <c r="M279" i="9"/>
  <c r="N343" i="9"/>
  <c r="T343" i="9" s="1"/>
  <c r="M343" i="9"/>
  <c r="N48" i="9"/>
  <c r="T48" i="9" s="1"/>
  <c r="M48" i="9"/>
  <c r="N154" i="9"/>
  <c r="T154" i="9" s="1"/>
  <c r="M154" i="9"/>
  <c r="N234" i="9"/>
  <c r="T234" i="9" s="1"/>
  <c r="M234" i="9"/>
  <c r="N322" i="9"/>
  <c r="T322" i="9" s="1"/>
  <c r="M322" i="9"/>
  <c r="N317" i="9"/>
  <c r="T317" i="9" s="1"/>
  <c r="M317" i="9"/>
  <c r="N197" i="9"/>
  <c r="T197" i="9" s="1"/>
  <c r="M197" i="9"/>
  <c r="N277" i="9"/>
  <c r="T277" i="9" s="1"/>
  <c r="M277" i="9"/>
  <c r="N29" i="9"/>
  <c r="T29" i="9" s="1"/>
  <c r="M29" i="9"/>
  <c r="N152" i="9"/>
  <c r="T152" i="9" s="1"/>
  <c r="M152" i="9"/>
  <c r="N248" i="9"/>
  <c r="T248" i="9" s="1"/>
  <c r="M248" i="9"/>
  <c r="N312" i="9"/>
  <c r="T312" i="9" s="1"/>
  <c r="M312" i="9"/>
  <c r="N156" i="9"/>
  <c r="T156" i="9" s="1"/>
  <c r="M156" i="9"/>
  <c r="N96" i="9"/>
  <c r="T96" i="9" s="1"/>
  <c r="M96" i="9"/>
  <c r="N323" i="9"/>
  <c r="T323" i="9" s="1"/>
  <c r="M323" i="9"/>
  <c r="N168" i="9"/>
  <c r="T168" i="9" s="1"/>
  <c r="M168" i="9"/>
  <c r="N179" i="9"/>
  <c r="T179" i="9" s="1"/>
  <c r="M179" i="9"/>
  <c r="N267" i="9"/>
  <c r="T267" i="9" s="1"/>
  <c r="M267" i="9"/>
  <c r="N133" i="9"/>
  <c r="T133" i="9" s="1"/>
  <c r="M133" i="9"/>
  <c r="N115" i="9"/>
  <c r="T115" i="9" s="1"/>
  <c r="M115" i="9"/>
  <c r="N22" i="9"/>
  <c r="T22" i="9" s="1"/>
  <c r="M22" i="9"/>
  <c r="N294" i="9"/>
  <c r="T294" i="9" s="1"/>
  <c r="M294" i="9"/>
  <c r="N297" i="9"/>
  <c r="T297" i="9" s="1"/>
  <c r="M297" i="9"/>
  <c r="N72" i="9"/>
  <c r="T72" i="9" s="1"/>
  <c r="M72" i="9"/>
  <c r="N229" i="9"/>
  <c r="T229" i="9" s="1"/>
  <c r="M229" i="9"/>
  <c r="N24" i="9"/>
  <c r="T24" i="9" s="1"/>
  <c r="M24" i="9"/>
  <c r="S307" i="9"/>
  <c r="N59" i="9"/>
  <c r="T59" i="9" s="1"/>
  <c r="M59" i="9"/>
  <c r="N150" i="9"/>
  <c r="T150" i="9" s="1"/>
  <c r="M150" i="9"/>
  <c r="N50" i="9"/>
  <c r="T50" i="9" s="1"/>
  <c r="M50" i="9"/>
  <c r="N193" i="9"/>
  <c r="T193" i="9" s="1"/>
  <c r="M193" i="9"/>
  <c r="N300" i="9"/>
  <c r="T300" i="9" s="1"/>
  <c r="M300" i="9"/>
  <c r="N274" i="9"/>
  <c r="T274" i="9" s="1"/>
  <c r="M274" i="9"/>
  <c r="S59" i="9"/>
  <c r="S72" i="9"/>
  <c r="S142" i="9"/>
  <c r="S187" i="9"/>
  <c r="S357" i="9"/>
  <c r="S229" i="9"/>
  <c r="S247" i="9"/>
  <c r="S22" i="9"/>
  <c r="S294" i="9"/>
  <c r="N353" i="9"/>
  <c r="T353" i="9" s="1"/>
  <c r="M353" i="9"/>
  <c r="N42" i="9"/>
  <c r="T42" i="9" s="1"/>
  <c r="M42" i="9"/>
  <c r="N91" i="9"/>
  <c r="T91" i="9" s="1"/>
  <c r="M91" i="9"/>
  <c r="N236" i="9"/>
  <c r="T236" i="9" s="1"/>
  <c r="M236" i="9"/>
  <c r="N49" i="9"/>
  <c r="T49" i="9" s="1"/>
  <c r="M49" i="9"/>
  <c r="N113" i="9"/>
  <c r="T113" i="9" s="1"/>
  <c r="M113" i="9"/>
  <c r="N35" i="9"/>
  <c r="T35" i="9" s="1"/>
  <c r="M35" i="9"/>
  <c r="N190" i="9"/>
  <c r="T190" i="9" s="1"/>
  <c r="M190" i="9"/>
  <c r="N254" i="9"/>
  <c r="T254" i="9" s="1"/>
  <c r="M254" i="9"/>
  <c r="N71" i="9"/>
  <c r="T71" i="9" s="1"/>
  <c r="M71" i="9"/>
  <c r="N25" i="9"/>
  <c r="T25" i="9" s="1"/>
  <c r="M25" i="9"/>
  <c r="N90" i="9"/>
  <c r="T90" i="9" s="1"/>
  <c r="M90" i="9"/>
  <c r="N84" i="9"/>
  <c r="T84" i="9" s="1"/>
  <c r="M84" i="9"/>
  <c r="N278" i="9"/>
  <c r="T278" i="9" s="1"/>
  <c r="M278" i="9"/>
  <c r="N342" i="9"/>
  <c r="T342" i="9" s="1"/>
  <c r="M342" i="9"/>
  <c r="N103" i="9"/>
  <c r="T103" i="9" s="1"/>
  <c r="M103" i="9"/>
  <c r="N177" i="9"/>
  <c r="T177" i="9" s="1"/>
  <c r="M177" i="9"/>
  <c r="N225" i="9"/>
  <c r="T225" i="9" s="1"/>
  <c r="M225" i="9"/>
  <c r="N281" i="9"/>
  <c r="T281" i="9" s="1"/>
  <c r="M281" i="9"/>
  <c r="N8" i="9"/>
  <c r="T8" i="9" s="1"/>
  <c r="M8" i="9"/>
  <c r="N276" i="9"/>
  <c r="T276" i="9" s="1"/>
  <c r="M276" i="9"/>
  <c r="N340" i="9"/>
  <c r="T340" i="9" s="1"/>
  <c r="M340" i="9"/>
  <c r="N223" i="9"/>
  <c r="T223" i="9" s="1"/>
  <c r="M223" i="9"/>
  <c r="N287" i="9"/>
  <c r="T287" i="9" s="1"/>
  <c r="M287" i="9"/>
  <c r="N351" i="9"/>
  <c r="T351" i="9" s="1"/>
  <c r="M351" i="9"/>
  <c r="N56" i="9"/>
  <c r="T56" i="9" s="1"/>
  <c r="M56" i="9"/>
  <c r="N162" i="9"/>
  <c r="T162" i="9" s="1"/>
  <c r="M162" i="9"/>
  <c r="N242" i="9"/>
  <c r="T242" i="9" s="1"/>
  <c r="M242" i="9"/>
  <c r="N330" i="9"/>
  <c r="T330" i="9" s="1"/>
  <c r="M330" i="9"/>
  <c r="N349" i="9"/>
  <c r="T349" i="9" s="1"/>
  <c r="M349" i="9"/>
  <c r="N205" i="9"/>
  <c r="T205" i="9" s="1"/>
  <c r="M205" i="9"/>
  <c r="N285" i="9"/>
  <c r="T285" i="9" s="1"/>
  <c r="M285" i="9"/>
  <c r="N37" i="9"/>
  <c r="T37" i="9" s="1"/>
  <c r="M37" i="9"/>
  <c r="N160" i="9"/>
  <c r="T160" i="9" s="1"/>
  <c r="M160" i="9"/>
  <c r="N256" i="9"/>
  <c r="T256" i="9" s="1"/>
  <c r="M256" i="9"/>
  <c r="N320" i="9"/>
  <c r="T320" i="9" s="1"/>
  <c r="M320" i="9"/>
  <c r="N164" i="9"/>
  <c r="T164" i="9" s="1"/>
  <c r="M164" i="9"/>
  <c r="N112" i="9"/>
  <c r="T112" i="9" s="1"/>
  <c r="M112" i="9"/>
  <c r="N331" i="9"/>
  <c r="T331" i="9" s="1"/>
  <c r="M331" i="9"/>
  <c r="N176" i="9"/>
  <c r="T176" i="9" s="1"/>
  <c r="M176" i="9"/>
  <c r="N195" i="9"/>
  <c r="T195" i="9" s="1"/>
  <c r="M195" i="9"/>
  <c r="N275" i="9"/>
  <c r="T275" i="9" s="1"/>
  <c r="M275" i="9"/>
  <c r="N369" i="9"/>
  <c r="T369" i="9" s="1"/>
  <c r="M369" i="9"/>
  <c r="N129" i="9"/>
  <c r="T129" i="9" s="1"/>
  <c r="M129" i="9"/>
  <c r="N41" i="9"/>
  <c r="T41" i="9" s="1"/>
  <c r="M41" i="9"/>
  <c r="N119" i="9"/>
  <c r="T119" i="9" s="1"/>
  <c r="M119" i="9"/>
  <c r="N292" i="9"/>
  <c r="T292" i="9" s="1"/>
  <c r="M292" i="9"/>
  <c r="N303" i="9"/>
  <c r="T303" i="9" s="1"/>
  <c r="M303" i="9"/>
  <c r="N258" i="9"/>
  <c r="T258" i="9" s="1"/>
  <c r="M258" i="9"/>
  <c r="N301" i="9"/>
  <c r="T301" i="9" s="1"/>
  <c r="M301" i="9"/>
  <c r="N336" i="9"/>
  <c r="T336" i="9" s="1"/>
  <c r="M336" i="9"/>
  <c r="S129" i="9"/>
  <c r="S291" i="9"/>
  <c r="N7" i="9"/>
  <c r="T7" i="9" s="1"/>
  <c r="M7" i="9"/>
  <c r="N70" i="9"/>
  <c r="T70" i="9" s="1"/>
  <c r="M70" i="9"/>
  <c r="N30" i="9"/>
  <c r="T30" i="9" s="1"/>
  <c r="M30" i="9"/>
  <c r="N366" i="9"/>
  <c r="T366" i="9" s="1"/>
  <c r="M366" i="9"/>
  <c r="N13" i="9"/>
  <c r="T13" i="9" s="1"/>
  <c r="M13" i="9"/>
  <c r="N88" i="9"/>
  <c r="T88" i="9" s="1"/>
  <c r="M88" i="9"/>
  <c r="N315" i="9"/>
  <c r="T315" i="9" s="1"/>
  <c r="M315" i="9"/>
  <c r="S50" i="9"/>
  <c r="S114" i="9"/>
  <c r="S369" i="9"/>
  <c r="S311" i="9"/>
  <c r="S24" i="9"/>
  <c r="S178" i="9"/>
  <c r="H35" i="1" s="1"/>
  <c r="S272" i="9"/>
  <c r="S336" i="9"/>
  <c r="S346" i="9"/>
  <c r="N361" i="9"/>
  <c r="T361" i="9" s="1"/>
  <c r="M361" i="9"/>
  <c r="N266" i="9"/>
  <c r="T266" i="9" s="1"/>
  <c r="M266" i="9"/>
  <c r="N51" i="9"/>
  <c r="T51" i="9" s="1"/>
  <c r="M51" i="9"/>
  <c r="N99" i="9"/>
  <c r="T99" i="9" s="1"/>
  <c r="M99" i="9"/>
  <c r="N54" i="9"/>
  <c r="T54" i="9" s="1"/>
  <c r="M54" i="9"/>
  <c r="N57" i="9"/>
  <c r="T57" i="9" s="1"/>
  <c r="M57" i="9"/>
  <c r="N121" i="9"/>
  <c r="T121" i="9" s="1"/>
  <c r="M121" i="9"/>
  <c r="N43" i="9"/>
  <c r="T43" i="9" s="1"/>
  <c r="M43" i="9"/>
  <c r="N198" i="9"/>
  <c r="T198" i="9" s="1"/>
  <c r="M198" i="9"/>
  <c r="N15" i="9"/>
  <c r="T15" i="9" s="1"/>
  <c r="M15" i="9"/>
  <c r="N79" i="9"/>
  <c r="T79" i="9" s="1"/>
  <c r="M79" i="9"/>
  <c r="N33" i="9"/>
  <c r="T33" i="9" s="1"/>
  <c r="M33" i="9"/>
  <c r="N98" i="9"/>
  <c r="T98" i="9" s="1"/>
  <c r="M98" i="9"/>
  <c r="N92" i="9"/>
  <c r="T92" i="9" s="1"/>
  <c r="M92" i="9"/>
  <c r="N286" i="9"/>
  <c r="T286" i="9" s="1"/>
  <c r="M286" i="9"/>
  <c r="N350" i="9"/>
  <c r="T350" i="9" s="1"/>
  <c r="M350" i="9"/>
  <c r="N111" i="9"/>
  <c r="T111" i="9" s="1"/>
  <c r="M111" i="9"/>
  <c r="N185" i="9"/>
  <c r="T185" i="9" s="1"/>
  <c r="M185" i="9"/>
  <c r="N233" i="9"/>
  <c r="T233" i="9" s="1"/>
  <c r="M233" i="9"/>
  <c r="N289" i="9"/>
  <c r="T289" i="9" s="1"/>
  <c r="M289" i="9"/>
  <c r="N333" i="9"/>
  <c r="T333" i="9" s="1"/>
  <c r="M333" i="9"/>
  <c r="N284" i="9"/>
  <c r="T284" i="9" s="1"/>
  <c r="M284" i="9"/>
  <c r="N348" i="9"/>
  <c r="T348" i="9" s="1"/>
  <c r="M348" i="9"/>
  <c r="N231" i="9"/>
  <c r="T231" i="9" s="1"/>
  <c r="M231" i="9"/>
  <c r="N295" i="9"/>
  <c r="T295" i="9" s="1"/>
  <c r="M295" i="9"/>
  <c r="N359" i="9"/>
  <c r="T359" i="9" s="1"/>
  <c r="M359" i="9"/>
  <c r="N64" i="9"/>
  <c r="T64" i="9" s="1"/>
  <c r="M64" i="9"/>
  <c r="N170" i="9"/>
  <c r="T170" i="9" s="1"/>
  <c r="M170" i="9"/>
  <c r="N250" i="9"/>
  <c r="T250" i="9" s="1"/>
  <c r="M250" i="9"/>
  <c r="N338" i="9"/>
  <c r="T338" i="9" s="1"/>
  <c r="M338" i="9"/>
  <c r="N360" i="9"/>
  <c r="T360" i="9" s="1"/>
  <c r="M360" i="9"/>
  <c r="N213" i="9"/>
  <c r="T213" i="9" s="1"/>
  <c r="M213" i="9"/>
  <c r="N293" i="9"/>
  <c r="T293" i="9" s="1"/>
  <c r="M293" i="9"/>
  <c r="N45" i="9"/>
  <c r="T45" i="9" s="1"/>
  <c r="M45" i="9"/>
  <c r="N184" i="9"/>
  <c r="T184" i="9" s="1"/>
  <c r="M184" i="9"/>
  <c r="N264" i="9"/>
  <c r="T264" i="9" s="1"/>
  <c r="M264" i="9"/>
  <c r="N328" i="9"/>
  <c r="T328" i="9" s="1"/>
  <c r="M328" i="9"/>
  <c r="N172" i="9"/>
  <c r="T172" i="9" s="1"/>
  <c r="M172" i="9"/>
  <c r="N128" i="9"/>
  <c r="T128" i="9" s="1"/>
  <c r="M128" i="9"/>
  <c r="N355" i="9"/>
  <c r="T355" i="9" s="1"/>
  <c r="M355" i="9"/>
  <c r="N200" i="9"/>
  <c r="T200" i="9" s="1"/>
  <c r="M200" i="9"/>
  <c r="N16" i="9"/>
  <c r="T16" i="9" s="1"/>
  <c r="M16" i="9"/>
  <c r="N203" i="9"/>
  <c r="T203" i="9" s="1"/>
  <c r="M203" i="9"/>
  <c r="N283" i="9"/>
  <c r="T283" i="9" s="1"/>
  <c r="M283" i="9"/>
  <c r="S126" i="9"/>
  <c r="S153" i="9"/>
  <c r="S201" i="9"/>
  <c r="S73" i="9"/>
  <c r="S121" i="9"/>
  <c r="S139" i="9"/>
  <c r="S155" i="9"/>
  <c r="S327" i="9"/>
  <c r="S233" i="9"/>
  <c r="S249" i="9"/>
  <c r="S216" i="9"/>
  <c r="S286" i="9"/>
  <c r="S358" i="9"/>
  <c r="S374" i="9"/>
  <c r="S58" i="9"/>
  <c r="S137" i="9"/>
  <c r="S78" i="9"/>
  <c r="S130" i="9"/>
  <c r="S123" i="9"/>
  <c r="S173" i="9"/>
  <c r="S329" i="9"/>
  <c r="S313" i="9"/>
  <c r="S198" i="9"/>
  <c r="S218" i="9"/>
  <c r="S288" i="9"/>
  <c r="S306" i="9"/>
  <c r="S338" i="9"/>
  <c r="S344" i="9"/>
  <c r="S360" i="9"/>
  <c r="S9" i="9"/>
  <c r="S23" i="9"/>
  <c r="S116" i="9"/>
  <c r="S166" i="9"/>
  <c r="S361" i="9"/>
  <c r="S33" i="9"/>
  <c r="S28" i="9"/>
  <c r="S220" i="9"/>
  <c r="S274" i="9"/>
  <c r="S290" i="9"/>
  <c r="S308" i="9"/>
  <c r="S362" i="9"/>
  <c r="S209" i="9"/>
  <c r="S341" i="9"/>
  <c r="S255" i="9"/>
  <c r="S202" i="9"/>
  <c r="S222" i="9"/>
  <c r="S310" i="9"/>
  <c r="S81" i="9"/>
  <c r="S104" i="9"/>
  <c r="S120" i="9"/>
  <c r="S138" i="9"/>
  <c r="S147" i="9"/>
  <c r="S257" i="9"/>
  <c r="S319" i="9"/>
  <c r="S367" i="9"/>
  <c r="S224" i="9"/>
  <c r="S244" i="9"/>
  <c r="S350" i="9"/>
  <c r="S366" i="9"/>
  <c r="S15" i="9"/>
  <c r="S122" i="9"/>
  <c r="S149" i="9"/>
  <c r="S325" i="9"/>
  <c r="S368" i="9"/>
  <c r="S83" i="9"/>
  <c r="S102" i="9"/>
  <c r="S194" i="9"/>
  <c r="S210" i="9"/>
  <c r="S228" i="9"/>
  <c r="S10" i="9"/>
  <c r="S230" i="9"/>
  <c r="S246" i="9"/>
  <c r="S182" i="9"/>
  <c r="S63" i="9"/>
  <c r="S27" i="9"/>
  <c r="S18" i="9"/>
  <c r="S34" i="9"/>
  <c r="S298" i="9"/>
  <c r="S82" i="9"/>
  <c r="S105" i="9"/>
  <c r="R5" i="10"/>
  <c r="D3" i="10"/>
  <c r="C3" i="10"/>
  <c r="M5" i="10"/>
  <c r="N5" i="10"/>
  <c r="O5" i="10"/>
  <c r="P5" i="10"/>
  <c r="Q5" i="10"/>
  <c r="E3" i="10" l="1"/>
  <c r="F3" i="10" l="1"/>
  <c r="D25" i="8"/>
  <c r="E25" i="8"/>
  <c r="F25" i="8"/>
  <c r="G25" i="8"/>
  <c r="H25" i="8"/>
  <c r="I25" i="8"/>
  <c r="J25" i="8"/>
  <c r="K25" i="8"/>
  <c r="L25" i="8"/>
  <c r="M25" i="8"/>
  <c r="N25" i="8"/>
  <c r="C25" i="8"/>
  <c r="G3" i="10" l="1"/>
  <c r="U7" i="9"/>
  <c r="D7" i="9"/>
  <c r="H3" i="10" l="1"/>
  <c r="O25" i="8"/>
  <c r="I3" i="10" l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A2" i="1"/>
  <c r="B8" i="10" l="1"/>
  <c r="D375" i="9" l="1"/>
  <c r="H59" i="2" l="1"/>
  <c r="U367" i="9"/>
  <c r="D367" i="9"/>
  <c r="U311" i="9"/>
  <c r="D311" i="9"/>
  <c r="U271" i="9"/>
  <c r="D271" i="9"/>
  <c r="U231" i="9"/>
  <c r="D231" i="9"/>
  <c r="U183" i="9"/>
  <c r="D183" i="9"/>
  <c r="U103" i="9"/>
  <c r="D103" i="9"/>
  <c r="U31" i="9"/>
  <c r="D31" i="9"/>
  <c r="U362" i="9"/>
  <c r="D362" i="9"/>
  <c r="U354" i="9"/>
  <c r="D354" i="9"/>
  <c r="U338" i="9"/>
  <c r="D338" i="9"/>
  <c r="U330" i="9"/>
  <c r="D330" i="9"/>
  <c r="U314" i="9"/>
  <c r="D314" i="9"/>
  <c r="U298" i="9"/>
  <c r="D298" i="9"/>
  <c r="U282" i="9"/>
  <c r="D282" i="9"/>
  <c r="U266" i="9"/>
  <c r="D266" i="9"/>
  <c r="U242" i="9"/>
  <c r="D242" i="9"/>
  <c r="U210" i="9"/>
  <c r="D210" i="9"/>
  <c r="U130" i="9"/>
  <c r="D130" i="9"/>
  <c r="U368" i="9"/>
  <c r="D368" i="9"/>
  <c r="U360" i="9"/>
  <c r="D360" i="9"/>
  <c r="U352" i="9"/>
  <c r="D352" i="9"/>
  <c r="U344" i="9"/>
  <c r="D344" i="9"/>
  <c r="U336" i="9"/>
  <c r="D336" i="9"/>
  <c r="U328" i="9"/>
  <c r="D328" i="9"/>
  <c r="U320" i="9"/>
  <c r="D320" i="9"/>
  <c r="U312" i="9"/>
  <c r="D312" i="9"/>
  <c r="U304" i="9"/>
  <c r="D304" i="9"/>
  <c r="U296" i="9"/>
  <c r="D296" i="9"/>
  <c r="U288" i="9"/>
  <c r="D288" i="9"/>
  <c r="U280" i="9"/>
  <c r="D280" i="9"/>
  <c r="U272" i="9"/>
  <c r="D272" i="9"/>
  <c r="U264" i="9"/>
  <c r="D264" i="9"/>
  <c r="U256" i="9"/>
  <c r="D256" i="9"/>
  <c r="U248" i="9"/>
  <c r="D248" i="9"/>
  <c r="U240" i="9"/>
  <c r="D240" i="9"/>
  <c r="U232" i="9"/>
  <c r="D232" i="9"/>
  <c r="U224" i="9"/>
  <c r="D224" i="9"/>
  <c r="U216" i="9"/>
  <c r="D216" i="9"/>
  <c r="U208" i="9"/>
  <c r="D208" i="9"/>
  <c r="U200" i="9"/>
  <c r="D200" i="9"/>
  <c r="U192" i="9"/>
  <c r="D192" i="9"/>
  <c r="U184" i="9"/>
  <c r="D184" i="9"/>
  <c r="U176" i="9"/>
  <c r="D176" i="9"/>
  <c r="U168" i="9"/>
  <c r="D168" i="9"/>
  <c r="U160" i="9"/>
  <c r="D160" i="9"/>
  <c r="U152" i="9"/>
  <c r="D152" i="9"/>
  <c r="U144" i="9"/>
  <c r="D144" i="9"/>
  <c r="U136" i="9"/>
  <c r="D136" i="9"/>
  <c r="U128" i="9"/>
  <c r="D128" i="9"/>
  <c r="U120" i="9"/>
  <c r="D120" i="9"/>
  <c r="U112" i="9"/>
  <c r="D112" i="9"/>
  <c r="U104" i="9"/>
  <c r="D104" i="9"/>
  <c r="U96" i="9"/>
  <c r="D96" i="9"/>
  <c r="U88" i="9"/>
  <c r="D88" i="9"/>
  <c r="U80" i="9"/>
  <c r="D80" i="9"/>
  <c r="U72" i="9"/>
  <c r="D72" i="9"/>
  <c r="U64" i="9"/>
  <c r="D64" i="9"/>
  <c r="U56" i="9"/>
  <c r="D56" i="9"/>
  <c r="U48" i="9"/>
  <c r="D48" i="9"/>
  <c r="U41" i="9"/>
  <c r="D41" i="9"/>
  <c r="U33" i="9"/>
  <c r="D33" i="9"/>
  <c r="U24" i="9"/>
  <c r="D24" i="9"/>
  <c r="U16" i="9"/>
  <c r="D16" i="9"/>
  <c r="U351" i="9"/>
  <c r="D351" i="9"/>
  <c r="U279" i="9"/>
  <c r="D279" i="9"/>
  <c r="U207" i="9"/>
  <c r="D207" i="9"/>
  <c r="U151" i="9"/>
  <c r="D151" i="9"/>
  <c r="U87" i="9"/>
  <c r="D87" i="9"/>
  <c r="U15" i="9"/>
  <c r="D15" i="9"/>
  <c r="U374" i="9"/>
  <c r="D374" i="9"/>
  <c r="U366" i="9"/>
  <c r="D366" i="9"/>
  <c r="U358" i="9"/>
  <c r="D358" i="9"/>
  <c r="U350" i="9"/>
  <c r="D350" i="9"/>
  <c r="U342" i="9"/>
  <c r="D342" i="9"/>
  <c r="U334" i="9"/>
  <c r="D334" i="9"/>
  <c r="U326" i="9"/>
  <c r="D326" i="9"/>
  <c r="U318" i="9"/>
  <c r="D318" i="9"/>
  <c r="U310" i="9"/>
  <c r="D310" i="9"/>
  <c r="U302" i="9"/>
  <c r="D302" i="9"/>
  <c r="U294" i="9"/>
  <c r="D294" i="9"/>
  <c r="U286" i="9"/>
  <c r="D286" i="9"/>
  <c r="U278" i="9"/>
  <c r="D278" i="9"/>
  <c r="U270" i="9"/>
  <c r="D270" i="9"/>
  <c r="U262" i="9"/>
  <c r="D262" i="9"/>
  <c r="U254" i="9"/>
  <c r="D254" i="9"/>
  <c r="U246" i="9"/>
  <c r="D246" i="9"/>
  <c r="U238" i="9"/>
  <c r="D238" i="9"/>
  <c r="U230" i="9"/>
  <c r="D230" i="9"/>
  <c r="U222" i="9"/>
  <c r="D222" i="9"/>
  <c r="U214" i="9"/>
  <c r="D214" i="9"/>
  <c r="U206" i="9"/>
  <c r="D206" i="9"/>
  <c r="U198" i="9"/>
  <c r="D198" i="9"/>
  <c r="U190" i="9"/>
  <c r="D190" i="9"/>
  <c r="U182" i="9"/>
  <c r="D182" i="9"/>
  <c r="U174" i="9"/>
  <c r="D174" i="9"/>
  <c r="U166" i="9"/>
  <c r="D166" i="9"/>
  <c r="U158" i="9"/>
  <c r="D158" i="9"/>
  <c r="U150" i="9"/>
  <c r="D150" i="9"/>
  <c r="U142" i="9"/>
  <c r="D142" i="9"/>
  <c r="U134" i="9"/>
  <c r="D134" i="9"/>
  <c r="U126" i="9"/>
  <c r="D126" i="9"/>
  <c r="U118" i="9"/>
  <c r="D118" i="9"/>
  <c r="U110" i="9"/>
  <c r="D110" i="9"/>
  <c r="U102" i="9"/>
  <c r="D102" i="9"/>
  <c r="U94" i="9"/>
  <c r="D94" i="9"/>
  <c r="U86" i="9"/>
  <c r="D86" i="9"/>
  <c r="U78" i="9"/>
  <c r="D78" i="9"/>
  <c r="U70" i="9"/>
  <c r="D70" i="9"/>
  <c r="U62" i="9"/>
  <c r="D62" i="9"/>
  <c r="U54" i="9"/>
  <c r="D54" i="9"/>
  <c r="U39" i="9"/>
  <c r="D39" i="9"/>
  <c r="U30" i="9"/>
  <c r="D30" i="9"/>
  <c r="U22" i="9"/>
  <c r="D22" i="9"/>
  <c r="U14" i="9"/>
  <c r="D14" i="9"/>
  <c r="U359" i="9"/>
  <c r="D359" i="9"/>
  <c r="U327" i="9"/>
  <c r="D327" i="9"/>
  <c r="U303" i="9"/>
  <c r="D303" i="9"/>
  <c r="U287" i="9"/>
  <c r="D287" i="9"/>
  <c r="U247" i="9"/>
  <c r="D247" i="9"/>
  <c r="U223" i="9"/>
  <c r="D223" i="9"/>
  <c r="U191" i="9"/>
  <c r="D191" i="9"/>
  <c r="U159" i="9"/>
  <c r="D159" i="9"/>
  <c r="U135" i="9"/>
  <c r="D135" i="9"/>
  <c r="U111" i="9"/>
  <c r="D111" i="9"/>
  <c r="U79" i="9"/>
  <c r="D79" i="9"/>
  <c r="U63" i="9"/>
  <c r="D63" i="9"/>
  <c r="U40" i="9"/>
  <c r="D40" i="9"/>
  <c r="U365" i="9"/>
  <c r="D365" i="9"/>
  <c r="U341" i="9"/>
  <c r="D341" i="9"/>
  <c r="U317" i="9"/>
  <c r="D317" i="9"/>
  <c r="U301" i="9"/>
  <c r="D301" i="9"/>
  <c r="U285" i="9"/>
  <c r="D285" i="9"/>
  <c r="U269" i="9"/>
  <c r="D269" i="9"/>
  <c r="U261" i="9"/>
  <c r="D261" i="9"/>
  <c r="U245" i="9"/>
  <c r="D245" i="9"/>
  <c r="U237" i="9"/>
  <c r="D237" i="9"/>
  <c r="U221" i="9"/>
  <c r="D221" i="9"/>
  <c r="U213" i="9"/>
  <c r="D213" i="9"/>
  <c r="U197" i="9"/>
  <c r="D197" i="9"/>
  <c r="U189" i="9"/>
  <c r="D189" i="9"/>
  <c r="U181" i="9"/>
  <c r="D181" i="9"/>
  <c r="U173" i="9"/>
  <c r="D173" i="9"/>
  <c r="U165" i="9"/>
  <c r="D165" i="9"/>
  <c r="U157" i="9"/>
  <c r="D157" i="9"/>
  <c r="U149" i="9"/>
  <c r="D149" i="9"/>
  <c r="U141" i="9"/>
  <c r="D141" i="9"/>
  <c r="U133" i="9"/>
  <c r="D133" i="9"/>
  <c r="U125" i="9"/>
  <c r="D125" i="9"/>
  <c r="U117" i="9"/>
  <c r="D117" i="9"/>
  <c r="U101" i="9"/>
  <c r="D101" i="9"/>
  <c r="U93" i="9"/>
  <c r="D93" i="9"/>
  <c r="U85" i="9"/>
  <c r="D85" i="9"/>
  <c r="U77" i="9"/>
  <c r="D77" i="9"/>
  <c r="U69" i="9"/>
  <c r="D69" i="9"/>
  <c r="U61" i="9"/>
  <c r="D61" i="9"/>
  <c r="U53" i="9"/>
  <c r="D53" i="9"/>
  <c r="U46" i="9"/>
  <c r="D46" i="9"/>
  <c r="U38" i="9"/>
  <c r="D38" i="9"/>
  <c r="U29" i="9"/>
  <c r="D29" i="9"/>
  <c r="U21" i="9"/>
  <c r="D21" i="9"/>
  <c r="U13" i="9"/>
  <c r="D13" i="9"/>
  <c r="U372" i="9"/>
  <c r="D372" i="9"/>
  <c r="U364" i="9"/>
  <c r="D364" i="9"/>
  <c r="U356" i="9"/>
  <c r="D356" i="9"/>
  <c r="U348" i="9"/>
  <c r="D348" i="9"/>
  <c r="U340" i="9"/>
  <c r="D340" i="9"/>
  <c r="U332" i="9"/>
  <c r="D332" i="9"/>
  <c r="U324" i="9"/>
  <c r="D324" i="9"/>
  <c r="U316" i="9"/>
  <c r="D316" i="9"/>
  <c r="U308" i="9"/>
  <c r="D308" i="9"/>
  <c r="U300" i="9"/>
  <c r="D300" i="9"/>
  <c r="U292" i="9"/>
  <c r="D292" i="9"/>
  <c r="U284" i="9"/>
  <c r="D284" i="9"/>
  <c r="U276" i="9"/>
  <c r="D276" i="9"/>
  <c r="U268" i="9"/>
  <c r="D268" i="9"/>
  <c r="U260" i="9"/>
  <c r="D260" i="9"/>
  <c r="U252" i="9"/>
  <c r="D252" i="9"/>
  <c r="U244" i="9"/>
  <c r="D244" i="9"/>
  <c r="U236" i="9"/>
  <c r="D236" i="9"/>
  <c r="U228" i="9"/>
  <c r="D228" i="9"/>
  <c r="U220" i="9"/>
  <c r="D220" i="9"/>
  <c r="U212" i="9"/>
  <c r="D212" i="9"/>
  <c r="U204" i="9"/>
  <c r="D204" i="9"/>
  <c r="U196" i="9"/>
  <c r="D196" i="9"/>
  <c r="U188" i="9"/>
  <c r="D188" i="9"/>
  <c r="U180" i="9"/>
  <c r="D180" i="9"/>
  <c r="U172" i="9"/>
  <c r="D172" i="9"/>
  <c r="U164" i="9"/>
  <c r="D164" i="9"/>
  <c r="U156" i="9"/>
  <c r="D156" i="9"/>
  <c r="U148" i="9"/>
  <c r="D148" i="9"/>
  <c r="U140" i="9"/>
  <c r="D140" i="9"/>
  <c r="U132" i="9"/>
  <c r="D132" i="9"/>
  <c r="U124" i="9"/>
  <c r="D124" i="9"/>
  <c r="U116" i="9"/>
  <c r="D116" i="9"/>
  <c r="U108" i="9"/>
  <c r="D108" i="9"/>
  <c r="U100" i="9"/>
  <c r="D100" i="9"/>
  <c r="U92" i="9"/>
  <c r="D92" i="9"/>
  <c r="U84" i="9"/>
  <c r="D84" i="9"/>
  <c r="U76" i="9"/>
  <c r="D76" i="9"/>
  <c r="U68" i="9"/>
  <c r="D68" i="9"/>
  <c r="U60" i="9"/>
  <c r="D60" i="9"/>
  <c r="U52" i="9"/>
  <c r="D52" i="9"/>
  <c r="U45" i="9"/>
  <c r="D45" i="9"/>
  <c r="U37" i="9"/>
  <c r="D37" i="9"/>
  <c r="U28" i="9"/>
  <c r="D28" i="9"/>
  <c r="U20" i="9"/>
  <c r="D20" i="9"/>
  <c r="U12" i="9"/>
  <c r="D12" i="9"/>
  <c r="U335" i="9"/>
  <c r="D335" i="9"/>
  <c r="U263" i="9"/>
  <c r="D263" i="9"/>
  <c r="U215" i="9"/>
  <c r="D215" i="9"/>
  <c r="U167" i="9"/>
  <c r="D167" i="9"/>
  <c r="U119" i="9"/>
  <c r="D119" i="9"/>
  <c r="U23" i="9"/>
  <c r="D23" i="9"/>
  <c r="U373" i="9"/>
  <c r="D373" i="9"/>
  <c r="U357" i="9"/>
  <c r="D357" i="9"/>
  <c r="U349" i="9"/>
  <c r="D349" i="9"/>
  <c r="U333" i="9"/>
  <c r="D333" i="9"/>
  <c r="U325" i="9"/>
  <c r="D325" i="9"/>
  <c r="U309" i="9"/>
  <c r="D309" i="9"/>
  <c r="U293" i="9"/>
  <c r="D293" i="9"/>
  <c r="U277" i="9"/>
  <c r="D277" i="9"/>
  <c r="U253" i="9"/>
  <c r="D253" i="9"/>
  <c r="U229" i="9"/>
  <c r="D229" i="9"/>
  <c r="U205" i="9"/>
  <c r="D205" i="9"/>
  <c r="U109" i="9"/>
  <c r="D109" i="9"/>
  <c r="U8" i="9"/>
  <c r="D8" i="9"/>
  <c r="U371" i="9"/>
  <c r="D371" i="9"/>
  <c r="U363" i="9"/>
  <c r="D363" i="9"/>
  <c r="U355" i="9"/>
  <c r="D355" i="9"/>
  <c r="U347" i="9"/>
  <c r="D347" i="9"/>
  <c r="U339" i="9"/>
  <c r="D339" i="9"/>
  <c r="U331" i="9"/>
  <c r="D331" i="9"/>
  <c r="U323" i="9"/>
  <c r="D323" i="9"/>
  <c r="U315" i="9"/>
  <c r="D315" i="9"/>
  <c r="U307" i="9"/>
  <c r="D307" i="9"/>
  <c r="U299" i="9"/>
  <c r="D299" i="9"/>
  <c r="U291" i="9"/>
  <c r="D291" i="9"/>
  <c r="U283" i="9"/>
  <c r="D283" i="9"/>
  <c r="U275" i="9"/>
  <c r="D275" i="9"/>
  <c r="U267" i="9"/>
  <c r="D267" i="9"/>
  <c r="U259" i="9"/>
  <c r="D259" i="9"/>
  <c r="U251" i="9"/>
  <c r="D251" i="9"/>
  <c r="U243" i="9"/>
  <c r="D243" i="9"/>
  <c r="U235" i="9"/>
  <c r="D235" i="9"/>
  <c r="U227" i="9"/>
  <c r="D227" i="9"/>
  <c r="U219" i="9"/>
  <c r="D219" i="9"/>
  <c r="U211" i="9"/>
  <c r="D211" i="9"/>
  <c r="U203" i="9"/>
  <c r="D203" i="9"/>
  <c r="U195" i="9"/>
  <c r="D195" i="9"/>
  <c r="U187" i="9"/>
  <c r="D187" i="9"/>
  <c r="U179" i="9"/>
  <c r="D179" i="9"/>
  <c r="U171" i="9"/>
  <c r="D171" i="9"/>
  <c r="U163" i="9"/>
  <c r="D163" i="9"/>
  <c r="U155" i="9"/>
  <c r="D155" i="9"/>
  <c r="U147" i="9"/>
  <c r="D147" i="9"/>
  <c r="U139" i="9"/>
  <c r="D139" i="9"/>
  <c r="U131" i="9"/>
  <c r="D131" i="9"/>
  <c r="U123" i="9"/>
  <c r="D123" i="9"/>
  <c r="U115" i="9"/>
  <c r="D115" i="9"/>
  <c r="U107" i="9"/>
  <c r="D107" i="9"/>
  <c r="U99" i="9"/>
  <c r="D99" i="9"/>
  <c r="U91" i="9"/>
  <c r="D91" i="9"/>
  <c r="U83" i="9"/>
  <c r="D83" i="9"/>
  <c r="U75" i="9"/>
  <c r="D75" i="9"/>
  <c r="U67" i="9"/>
  <c r="D67" i="9"/>
  <c r="U59" i="9"/>
  <c r="D59" i="9"/>
  <c r="U51" i="9"/>
  <c r="D51" i="9"/>
  <c r="U44" i="9"/>
  <c r="D44" i="9"/>
  <c r="U36" i="9"/>
  <c r="D36" i="9"/>
  <c r="U27" i="9"/>
  <c r="D27" i="9"/>
  <c r="U19" i="9"/>
  <c r="D19" i="9"/>
  <c r="U11" i="9"/>
  <c r="D11" i="9"/>
  <c r="U343" i="9"/>
  <c r="D343" i="9"/>
  <c r="U319" i="9"/>
  <c r="D319" i="9"/>
  <c r="U295" i="9"/>
  <c r="D295" i="9"/>
  <c r="U255" i="9"/>
  <c r="D255" i="9"/>
  <c r="U239" i="9"/>
  <c r="D239" i="9"/>
  <c r="U199" i="9"/>
  <c r="D199" i="9"/>
  <c r="U175" i="9"/>
  <c r="D175" i="9"/>
  <c r="U143" i="9"/>
  <c r="D143" i="9"/>
  <c r="U127" i="9"/>
  <c r="D127" i="9"/>
  <c r="U95" i="9"/>
  <c r="D95" i="9"/>
  <c r="U71" i="9"/>
  <c r="D71" i="9"/>
  <c r="U55" i="9"/>
  <c r="D55" i="9"/>
  <c r="U47" i="9"/>
  <c r="D47" i="9"/>
  <c r="U370" i="9"/>
  <c r="D370" i="9"/>
  <c r="U346" i="9"/>
  <c r="D346" i="9"/>
  <c r="U322" i="9"/>
  <c r="D322" i="9"/>
  <c r="U306" i="9"/>
  <c r="D306" i="9"/>
  <c r="U290" i="9"/>
  <c r="D290" i="9"/>
  <c r="U274" i="9"/>
  <c r="D274" i="9"/>
  <c r="U258" i="9"/>
  <c r="D258" i="9"/>
  <c r="U250" i="9"/>
  <c r="D250" i="9"/>
  <c r="U234" i="9"/>
  <c r="D234" i="9"/>
  <c r="U226" i="9"/>
  <c r="D226" i="9"/>
  <c r="U218" i="9"/>
  <c r="D218" i="9"/>
  <c r="U202" i="9"/>
  <c r="D202" i="9"/>
  <c r="U194" i="9"/>
  <c r="D194" i="9"/>
  <c r="U186" i="9"/>
  <c r="D186" i="9"/>
  <c r="U178" i="9"/>
  <c r="D178" i="9"/>
  <c r="U170" i="9"/>
  <c r="D170" i="9"/>
  <c r="U162" i="9"/>
  <c r="D162" i="9"/>
  <c r="U154" i="9"/>
  <c r="D154" i="9"/>
  <c r="U146" i="9"/>
  <c r="D146" i="9"/>
  <c r="U138" i="9"/>
  <c r="D138" i="9"/>
  <c r="U122" i="9"/>
  <c r="D122" i="9"/>
  <c r="U114" i="9"/>
  <c r="D114" i="9"/>
  <c r="U106" i="9"/>
  <c r="D106" i="9"/>
  <c r="U98" i="9"/>
  <c r="D98" i="9"/>
  <c r="U90" i="9"/>
  <c r="D90" i="9"/>
  <c r="U82" i="9"/>
  <c r="D82" i="9"/>
  <c r="U74" i="9"/>
  <c r="D74" i="9"/>
  <c r="U66" i="9"/>
  <c r="D66" i="9"/>
  <c r="U58" i="9"/>
  <c r="D58" i="9"/>
  <c r="U50" i="9"/>
  <c r="D50" i="9"/>
  <c r="U43" i="9"/>
  <c r="D43" i="9"/>
  <c r="U35" i="9"/>
  <c r="D35" i="9"/>
  <c r="U26" i="9"/>
  <c r="D26" i="9"/>
  <c r="U18" i="9"/>
  <c r="D18" i="9"/>
  <c r="U10" i="9"/>
  <c r="D10" i="9"/>
  <c r="U369" i="9"/>
  <c r="D369" i="9"/>
  <c r="U361" i="9"/>
  <c r="D361" i="9"/>
  <c r="U353" i="9"/>
  <c r="D353" i="9"/>
  <c r="U345" i="9"/>
  <c r="D345" i="9"/>
  <c r="U337" i="9"/>
  <c r="D337" i="9"/>
  <c r="U329" i="9"/>
  <c r="D329" i="9"/>
  <c r="U321" i="9"/>
  <c r="D321" i="9"/>
  <c r="U313" i="9"/>
  <c r="D313" i="9"/>
  <c r="U305" i="9"/>
  <c r="D305" i="9"/>
  <c r="U297" i="9"/>
  <c r="D297" i="9"/>
  <c r="U289" i="9"/>
  <c r="D289" i="9"/>
  <c r="U281" i="9"/>
  <c r="D281" i="9"/>
  <c r="U273" i="9"/>
  <c r="D273" i="9"/>
  <c r="U265" i="9"/>
  <c r="D265" i="9"/>
  <c r="U257" i="9"/>
  <c r="D257" i="9"/>
  <c r="U249" i="9"/>
  <c r="D249" i="9"/>
  <c r="U241" i="9"/>
  <c r="D241" i="9"/>
  <c r="U233" i="9"/>
  <c r="D233" i="9"/>
  <c r="U225" i="9"/>
  <c r="D225" i="9"/>
  <c r="U217" i="9"/>
  <c r="D217" i="9"/>
  <c r="U209" i="9"/>
  <c r="D209" i="9"/>
  <c r="U201" i="9"/>
  <c r="D201" i="9"/>
  <c r="U193" i="9"/>
  <c r="D193" i="9"/>
  <c r="U185" i="9"/>
  <c r="D185" i="9"/>
  <c r="U177" i="9"/>
  <c r="D177" i="9"/>
  <c r="U169" i="9"/>
  <c r="D169" i="9"/>
  <c r="U161" i="9"/>
  <c r="D161" i="9"/>
  <c r="U153" i="9"/>
  <c r="D153" i="9"/>
  <c r="U145" i="9"/>
  <c r="D145" i="9"/>
  <c r="U137" i="9"/>
  <c r="D137" i="9"/>
  <c r="U129" i="9"/>
  <c r="D129" i="9"/>
  <c r="U121" i="9"/>
  <c r="D121" i="9"/>
  <c r="U113" i="9"/>
  <c r="D113" i="9"/>
  <c r="U105" i="9"/>
  <c r="D105" i="9"/>
  <c r="U97" i="9"/>
  <c r="D97" i="9"/>
  <c r="U89" i="9"/>
  <c r="D89" i="9"/>
  <c r="U81" i="9"/>
  <c r="D81" i="9"/>
  <c r="U73" i="9"/>
  <c r="D73" i="9"/>
  <c r="U65" i="9"/>
  <c r="D65" i="9"/>
  <c r="U57" i="9"/>
  <c r="D57" i="9"/>
  <c r="U49" i="9"/>
  <c r="D49" i="9"/>
  <c r="U42" i="9"/>
  <c r="D42" i="9"/>
  <c r="U34" i="9"/>
  <c r="D34" i="9"/>
  <c r="U25" i="9"/>
  <c r="D25" i="9"/>
  <c r="U17" i="9"/>
  <c r="D17" i="9"/>
  <c r="U9" i="9"/>
  <c r="D9" i="9"/>
  <c r="U32" i="9" l="1"/>
  <c r="D32" i="9"/>
  <c r="D59" i="2"/>
  <c r="E59" i="2"/>
  <c r="G59" i="2"/>
  <c r="F59" i="2"/>
  <c r="D18" i="1"/>
  <c r="D16" i="1" l="1"/>
  <c r="H34" i="1" l="1"/>
  <c r="G34" i="1"/>
  <c r="F34" i="1"/>
  <c r="E34" i="1"/>
  <c r="E22" i="2" l="1"/>
  <c r="I34" i="1"/>
  <c r="H22" i="2" s="1"/>
  <c r="D15" i="5"/>
  <c r="E15" i="5"/>
  <c r="F15" i="5"/>
  <c r="G15" i="5"/>
  <c r="H15" i="5"/>
  <c r="D18" i="2"/>
  <c r="E18" i="2"/>
  <c r="F18" i="2"/>
  <c r="G18" i="2"/>
  <c r="H18" i="2"/>
  <c r="C18" i="2"/>
  <c r="C15" i="5"/>
  <c r="D16" i="5"/>
  <c r="E16" i="5"/>
  <c r="F16" i="5"/>
  <c r="G16" i="5"/>
  <c r="H16" i="5"/>
  <c r="C16" i="5"/>
  <c r="E11" i="2"/>
  <c r="F11" i="2"/>
  <c r="G11" i="2"/>
  <c r="G43" i="2" s="1"/>
  <c r="H11" i="2"/>
  <c r="E14" i="5"/>
  <c r="F14" i="5"/>
  <c r="G14" i="5"/>
  <c r="H14" i="5"/>
  <c r="D14" i="5"/>
  <c r="C14" i="5"/>
  <c r="C10" i="2"/>
  <c r="C14" i="2"/>
  <c r="C20" i="2" s="1"/>
  <c r="C15" i="2"/>
  <c r="C16" i="2"/>
  <c r="Z18" i="8"/>
  <c r="F15" i="2"/>
  <c r="F16" i="2"/>
  <c r="F22" i="2"/>
  <c r="F10" i="2"/>
  <c r="AA18" i="8"/>
  <c r="G15" i="2"/>
  <c r="G16" i="2"/>
  <c r="G10" i="2"/>
  <c r="AB18" i="8"/>
  <c r="H15" i="2"/>
  <c r="H16" i="2"/>
  <c r="H10" i="2"/>
  <c r="Y18" i="8"/>
  <c r="E15" i="2"/>
  <c r="E16" i="2"/>
  <c r="E10" i="2"/>
  <c r="X18" i="8"/>
  <c r="D15" i="2"/>
  <c r="D16" i="2"/>
  <c r="D10" i="2"/>
  <c r="C6" i="2"/>
  <c r="C5" i="5" s="1"/>
  <c r="H41" i="2"/>
  <c r="H34" i="5" s="1"/>
  <c r="H50" i="2"/>
  <c r="H51" i="2"/>
  <c r="H52" i="2"/>
  <c r="C41" i="2"/>
  <c r="C34" i="5" s="1"/>
  <c r="D41" i="2"/>
  <c r="D34" i="5" s="1"/>
  <c r="E41" i="2"/>
  <c r="E34" i="5" s="1"/>
  <c r="F41" i="2"/>
  <c r="F34" i="5" s="1"/>
  <c r="G41" i="2"/>
  <c r="G34" i="5" s="1"/>
  <c r="C50" i="2"/>
  <c r="C51" i="2"/>
  <c r="C52" i="2"/>
  <c r="D50" i="2"/>
  <c r="D51" i="2"/>
  <c r="D52" i="2"/>
  <c r="E50" i="2"/>
  <c r="E51" i="2"/>
  <c r="E52" i="2"/>
  <c r="F50" i="2"/>
  <c r="F51" i="2"/>
  <c r="F52" i="2"/>
  <c r="G50" i="2"/>
  <c r="G51" i="2"/>
  <c r="G52" i="2"/>
  <c r="A1" i="1"/>
  <c r="A1" i="4" s="1"/>
  <c r="B2" i="3"/>
  <c r="A2" i="2"/>
  <c r="C35" i="5"/>
  <c r="C42" i="2" s="1"/>
  <c r="D35" i="5"/>
  <c r="D42" i="2" s="1"/>
  <c r="E35" i="5"/>
  <c r="E42" i="2" s="1"/>
  <c r="F35" i="5"/>
  <c r="F42" i="2" s="1"/>
  <c r="G35" i="5"/>
  <c r="G42" i="2" s="1"/>
  <c r="H35" i="5"/>
  <c r="H42" i="2" s="1"/>
  <c r="H33" i="1"/>
  <c r="G8" i="2" s="1"/>
  <c r="I33" i="1"/>
  <c r="H8" i="2" s="1"/>
  <c r="G33" i="1"/>
  <c r="F8" i="2" s="1"/>
  <c r="F7" i="5" s="1"/>
  <c r="F33" i="1"/>
  <c r="E8" i="2" s="1"/>
  <c r="E33" i="1"/>
  <c r="D8" i="2" s="1"/>
  <c r="E15" i="4" s="1"/>
  <c r="A3" i="6"/>
  <c r="D44" i="5"/>
  <c r="D45" i="5"/>
  <c r="D46" i="5"/>
  <c r="D47" i="5"/>
  <c r="E44" i="5"/>
  <c r="E45" i="5"/>
  <c r="E46" i="5"/>
  <c r="E47" i="5"/>
  <c r="F44" i="5"/>
  <c r="F45" i="5"/>
  <c r="F46" i="5"/>
  <c r="F47" i="5"/>
  <c r="G44" i="5"/>
  <c r="G45" i="5"/>
  <c r="G46" i="5"/>
  <c r="G47" i="5"/>
  <c r="H44" i="5"/>
  <c r="H45" i="5"/>
  <c r="H46" i="5"/>
  <c r="H47" i="5"/>
  <c r="C44" i="5"/>
  <c r="C45" i="5"/>
  <c r="C46" i="5"/>
  <c r="C47" i="5"/>
  <c r="D36" i="5"/>
  <c r="E36" i="5"/>
  <c r="F36" i="5"/>
  <c r="G36" i="5"/>
  <c r="H36" i="5"/>
  <c r="C36" i="5"/>
  <c r="A2" i="5"/>
  <c r="X19" i="8"/>
  <c r="Y19" i="8"/>
  <c r="Z19" i="8"/>
  <c r="AA19" i="8"/>
  <c r="AB19" i="8"/>
  <c r="W7" i="8"/>
  <c r="AB24" i="8"/>
  <c r="AA24" i="8"/>
  <c r="Z24" i="8"/>
  <c r="Y24" i="8"/>
  <c r="X24" i="8"/>
  <c r="W24" i="8"/>
  <c r="AB20" i="8"/>
  <c r="AA20" i="8"/>
  <c r="Z20" i="8"/>
  <c r="Y20" i="8"/>
  <c r="X20" i="8"/>
  <c r="D33" i="1"/>
  <c r="C8" i="2" s="1"/>
  <c r="D15" i="4" s="1"/>
  <c r="A3" i="4"/>
  <c r="H10" i="5" l="1"/>
  <c r="H43" i="2"/>
  <c r="D20" i="2"/>
  <c r="H20" i="2"/>
  <c r="F20" i="2"/>
  <c r="E20" i="2"/>
  <c r="G20" i="2"/>
  <c r="C10" i="5"/>
  <c r="C43" i="2"/>
  <c r="F10" i="5"/>
  <c r="F43" i="2"/>
  <c r="F44" i="2" s="1"/>
  <c r="E10" i="5"/>
  <c r="E43" i="2"/>
  <c r="E45" i="2" s="1"/>
  <c r="D10" i="5"/>
  <c r="D39" i="5" s="1"/>
  <c r="D40" i="5" s="1"/>
  <c r="D43" i="2"/>
  <c r="D44" i="2" s="1"/>
  <c r="C21" i="2"/>
  <c r="H21" i="2"/>
  <c r="C9" i="5"/>
  <c r="G9" i="5"/>
  <c r="G65" i="2"/>
  <c r="E21" i="2"/>
  <c r="F21" i="2"/>
  <c r="D9" i="5"/>
  <c r="D65" i="2"/>
  <c r="H9" i="5"/>
  <c r="H65" i="2"/>
  <c r="E9" i="5"/>
  <c r="E65" i="2"/>
  <c r="G21" i="2"/>
  <c r="D21" i="2"/>
  <c r="F9" i="5"/>
  <c r="F65" i="2"/>
  <c r="E48" i="5"/>
  <c r="G48" i="5"/>
  <c r="C54" i="2"/>
  <c r="C55" i="2"/>
  <c r="H54" i="2"/>
  <c r="C48" i="5"/>
  <c r="W6" i="8"/>
  <c r="B34" i="1" s="1"/>
  <c r="A22" i="2" s="1"/>
  <c r="D34" i="1"/>
  <c r="C22" i="2" s="1"/>
  <c r="C53" i="2"/>
  <c r="C43" i="5" s="1"/>
  <c r="F19" i="2"/>
  <c r="Z22" i="8" s="1"/>
  <c r="H45" i="2"/>
  <c r="F48" i="5"/>
  <c r="D48" i="5"/>
  <c r="H48" i="5"/>
  <c r="H38" i="5"/>
  <c r="E19" i="2"/>
  <c r="G19" i="2"/>
  <c r="D19" i="2"/>
  <c r="X23" i="8" s="1"/>
  <c r="G45" i="2"/>
  <c r="G54" i="2"/>
  <c r="G10" i="5"/>
  <c r="G39" i="5" s="1"/>
  <c r="G40" i="5" s="1"/>
  <c r="G22" i="2"/>
  <c r="D22" i="2"/>
  <c r="E54" i="2"/>
  <c r="H55" i="2"/>
  <c r="C19" i="2"/>
  <c r="H19" i="2"/>
  <c r="H13" i="5" s="1"/>
  <c r="H17" i="5" s="1"/>
  <c r="H39" i="5"/>
  <c r="F5" i="5" s="1"/>
  <c r="F54" i="2"/>
  <c r="D55" i="2"/>
  <c r="H37" i="5"/>
  <c r="E44" i="2"/>
  <c r="G53" i="2"/>
  <c r="G43" i="5" s="1"/>
  <c r="E55" i="2"/>
  <c r="D53" i="2"/>
  <c r="D56" i="2" s="1"/>
  <c r="H53" i="2"/>
  <c r="H56" i="2" s="1"/>
  <c r="G6" i="2" s="1"/>
  <c r="F55" i="2"/>
  <c r="F53" i="2"/>
  <c r="G55" i="2"/>
  <c r="E53" i="2"/>
  <c r="D54" i="2"/>
  <c r="C44" i="2" s="1"/>
  <c r="H44" i="2"/>
  <c r="E39" i="5"/>
  <c r="E40" i="5" s="1"/>
  <c r="E37" i="5"/>
  <c r="G44" i="2"/>
  <c r="E38" i="5"/>
  <c r="F62" i="2"/>
  <c r="F56" i="5"/>
  <c r="D62" i="2"/>
  <c r="C7" i="5"/>
  <c r="A1" i="5"/>
  <c r="A1" i="6"/>
  <c r="H15" i="4"/>
  <c r="G7" i="5"/>
  <c r="G62" i="2"/>
  <c r="G56" i="5"/>
  <c r="E56" i="5"/>
  <c r="E59" i="5" s="1"/>
  <c r="E62" i="2"/>
  <c r="H56" i="5"/>
  <c r="H62" i="2"/>
  <c r="D56" i="5"/>
  <c r="B1" i="3"/>
  <c r="E7" i="5"/>
  <c r="F15" i="4"/>
  <c r="H7" i="5"/>
  <c r="I15" i="4"/>
  <c r="A1" i="2"/>
  <c r="D7" i="5"/>
  <c r="G15" i="4"/>
  <c r="F59" i="5" l="1"/>
  <c r="AA21" i="8"/>
  <c r="F37" i="5"/>
  <c r="F38" i="5"/>
  <c r="F39" i="5"/>
  <c r="F40" i="5" s="1"/>
  <c r="Y23" i="8"/>
  <c r="F23" i="2"/>
  <c r="F28" i="2"/>
  <c r="F60" i="2" s="1"/>
  <c r="F61" i="2" s="1"/>
  <c r="H23" i="2"/>
  <c r="H24" i="2" s="1"/>
  <c r="H28" i="2"/>
  <c r="H60" i="2" s="1"/>
  <c r="H61" i="2" s="1"/>
  <c r="G23" i="2"/>
  <c r="G24" i="2" s="1"/>
  <c r="G28" i="2"/>
  <c r="G60" i="2" s="1"/>
  <c r="G61" i="2" s="1"/>
  <c r="D23" i="2"/>
  <c r="D28" i="2"/>
  <c r="D60" i="2" s="1"/>
  <c r="D61" i="2" s="1"/>
  <c r="E23" i="2"/>
  <c r="E28" i="2"/>
  <c r="E60" i="2" s="1"/>
  <c r="E61" i="2" s="1"/>
  <c r="C23" i="2"/>
  <c r="C28" i="2"/>
  <c r="C60" i="2" s="1"/>
  <c r="D38" i="5"/>
  <c r="D37" i="5"/>
  <c r="H25" i="2"/>
  <c r="D25" i="2"/>
  <c r="F25" i="2"/>
  <c r="G25" i="2"/>
  <c r="E25" i="2"/>
  <c r="C39" i="5"/>
  <c r="C40" i="5" s="1"/>
  <c r="C25" i="2"/>
  <c r="F45" i="2"/>
  <c r="F46" i="2" s="1"/>
  <c r="F47" i="2" s="1"/>
  <c r="C38" i="5"/>
  <c r="C37" i="5"/>
  <c r="D45" i="2"/>
  <c r="D46" i="2" s="1"/>
  <c r="D47" i="2" s="1"/>
  <c r="W22" i="8"/>
  <c r="W21" i="8"/>
  <c r="D43" i="5"/>
  <c r="D50" i="5" s="1"/>
  <c r="C50" i="5"/>
  <c r="C51" i="5"/>
  <c r="C56" i="2"/>
  <c r="C49" i="5"/>
  <c r="C52" i="5" s="1"/>
  <c r="H46" i="2"/>
  <c r="H47" i="2" s="1"/>
  <c r="H43" i="5"/>
  <c r="H51" i="5" s="1"/>
  <c r="H40" i="5"/>
  <c r="E13" i="5"/>
  <c r="E17" i="5" s="1"/>
  <c r="Y22" i="8"/>
  <c r="Y21" i="8"/>
  <c r="G37" i="5"/>
  <c r="X21" i="8"/>
  <c r="G46" i="2"/>
  <c r="G47" i="2" s="1"/>
  <c r="E46" i="2"/>
  <c r="E47" i="2" s="1"/>
  <c r="G38" i="5"/>
  <c r="AA23" i="8"/>
  <c r="F13" i="5"/>
  <c r="F17" i="5" s="1"/>
  <c r="AA22" i="8"/>
  <c r="G13" i="5"/>
  <c r="G17" i="5" s="1"/>
  <c r="G56" i="2"/>
  <c r="Z23" i="8"/>
  <c r="C45" i="2"/>
  <c r="C46" i="2" s="1"/>
  <c r="C47" i="2" s="1"/>
  <c r="X22" i="8"/>
  <c r="D13" i="5"/>
  <c r="D17" i="5" s="1"/>
  <c r="Z21" i="8"/>
  <c r="AB23" i="8"/>
  <c r="W23" i="8"/>
  <c r="C13" i="5"/>
  <c r="C17" i="5" s="1"/>
  <c r="AB22" i="8"/>
  <c r="AB21" i="8"/>
  <c r="G49" i="5"/>
  <c r="G52" i="5" s="1"/>
  <c r="G50" i="5"/>
  <c r="G51" i="5"/>
  <c r="E56" i="2"/>
  <c r="E43" i="5"/>
  <c r="F43" i="5"/>
  <c r="F56" i="2"/>
  <c r="H59" i="5"/>
  <c r="G59" i="5"/>
  <c r="D59" i="5"/>
  <c r="E27" i="2" l="1"/>
  <c r="E29" i="2"/>
  <c r="D27" i="2"/>
  <c r="D29" i="2"/>
  <c r="F27" i="2"/>
  <c r="F29" i="2"/>
  <c r="F24" i="2"/>
  <c r="E24" i="2"/>
  <c r="G27" i="2"/>
  <c r="G29" i="2"/>
  <c r="H27" i="2"/>
  <c r="H29" i="2"/>
  <c r="D6" i="2" s="1"/>
  <c r="D24" i="2"/>
  <c r="C27" i="2"/>
  <c r="C29" i="2"/>
  <c r="E26" i="2"/>
  <c r="H26" i="2"/>
  <c r="F26" i="2"/>
  <c r="G26" i="2"/>
  <c r="D26" i="2"/>
  <c r="F18" i="5"/>
  <c r="E18" i="5"/>
  <c r="D51" i="5"/>
  <c r="D49" i="5"/>
  <c r="C53" i="5"/>
  <c r="H49" i="5"/>
  <c r="H52" i="5" s="1"/>
  <c r="H50" i="5"/>
  <c r="G5" i="5" s="1"/>
  <c r="F6" i="2"/>
  <c r="G18" i="5"/>
  <c r="D18" i="5"/>
  <c r="H18" i="5"/>
  <c r="F49" i="5"/>
  <c r="F53" i="5" s="1"/>
  <c r="F50" i="5"/>
  <c r="F51" i="5"/>
  <c r="E49" i="5"/>
  <c r="E52" i="5" s="1"/>
  <c r="E51" i="5"/>
  <c r="E50" i="5"/>
  <c r="G53" i="5"/>
  <c r="H22" i="5" l="1"/>
  <c r="H24" i="5"/>
  <c r="D5" i="5" s="1"/>
  <c r="E24" i="5"/>
  <c r="E22" i="5"/>
  <c r="G22" i="5"/>
  <c r="G24" i="5"/>
  <c r="D22" i="5"/>
  <c r="D24" i="5"/>
  <c r="F24" i="5"/>
  <c r="F22" i="5"/>
  <c r="H19" i="5"/>
  <c r="H21" i="5"/>
  <c r="D19" i="5"/>
  <c r="D21" i="5"/>
  <c r="E19" i="5"/>
  <c r="E21" i="5"/>
  <c r="G19" i="5"/>
  <c r="G21" i="5"/>
  <c r="F19" i="5"/>
  <c r="F21" i="5"/>
  <c r="H53" i="5"/>
  <c r="F52" i="5"/>
  <c r="E53" i="5"/>
  <c r="D53" i="5" l="1"/>
  <c r="D52" i="5"/>
  <c r="C59" i="2" l="1"/>
  <c r="C62" i="2" l="1"/>
  <c r="C65" i="2"/>
  <c r="C56" i="5"/>
  <c r="C59" i="5" l="1"/>
  <c r="C18" i="5"/>
  <c r="C24" i="2"/>
  <c r="C26" i="2"/>
  <c r="C22" i="5" l="1"/>
  <c r="C24" i="5"/>
  <c r="C19" i="5"/>
  <c r="C21" i="5"/>
  <c r="C63" i="2" l="1"/>
  <c r="C57" i="5"/>
  <c r="C61" i="2"/>
  <c r="C66" i="2"/>
  <c r="C64" i="2" l="1"/>
  <c r="C67" i="2"/>
  <c r="C58" i="5"/>
  <c r="C61" i="5" s="1"/>
  <c r="C60" i="5"/>
  <c r="E5" i="5"/>
  <c r="E6" i="2"/>
  <c r="F57" i="5" l="1"/>
  <c r="F66" i="2"/>
  <c r="F63" i="2"/>
  <c r="G57" i="5"/>
  <c r="G63" i="2"/>
  <c r="G66" i="2"/>
  <c r="G67" i="2" l="1"/>
  <c r="G64" i="2"/>
  <c r="F67" i="2"/>
  <c r="F64" i="2"/>
  <c r="G58" i="5"/>
  <c r="G61" i="5" s="1"/>
  <c r="G60" i="5"/>
  <c r="H63" i="2"/>
  <c r="H66" i="2"/>
  <c r="H57" i="5"/>
  <c r="F60" i="5"/>
  <c r="F58" i="5"/>
  <c r="F61" i="5" s="1"/>
  <c r="H64" i="2" l="1"/>
  <c r="H6" i="2" s="1"/>
  <c r="H67" i="2"/>
  <c r="H58" i="5"/>
  <c r="H61" i="5" s="1"/>
  <c r="H5" i="5" s="1"/>
  <c r="H60" i="5"/>
  <c r="D66" i="2"/>
  <c r="E66" i="2"/>
  <c r="D57" i="5" l="1"/>
  <c r="D60" i="5" s="1"/>
  <c r="D63" i="2"/>
  <c r="E57" i="5"/>
  <c r="E63" i="2"/>
  <c r="D58" i="5" l="1"/>
  <c r="D61" i="5" s="1"/>
  <c r="E58" i="5"/>
  <c r="E61" i="5" s="1"/>
  <c r="E60" i="5"/>
  <c r="E67" i="2"/>
  <c r="E64" i="2"/>
  <c r="D67" i="2"/>
  <c r="D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tc={50434D2A-C8DD-4A6D-AA9A-995AA404DDE0}</author>
  </authors>
  <commentList>
    <comment ref="F132" authorId="0" shapeId="0" xr:uid="{50434D2A-C8DD-4A6D-AA9A-995AA404DDE0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Nu under Hjørring FV</t>
      </text>
    </comment>
  </commentList>
</comments>
</file>

<file path=xl/sharedStrings.xml><?xml version="1.0" encoding="utf-8"?>
<sst xmlns="http://schemas.openxmlformats.org/spreadsheetml/2006/main" count="749" uniqueCount="613">
  <si>
    <t xml:space="preserve">   VE-bidraget fra varmepumpe</t>
  </si>
  <si>
    <t>Bidrag fra varmepumpe</t>
  </si>
  <si>
    <t xml:space="preserve">   http://www.teknologisk.dk/energi/492. Disse inbetatter ikke sommergraddagetal. Vælg "Standard" under Graddage på </t>
  </si>
  <si>
    <t xml:space="preserve">   indtastningsarket. (Beregnet på grundlag af døgnmiddeltemperaturer på Landbohøjskolen i København).</t>
  </si>
  <si>
    <r>
      <t>Selvvalg</t>
    </r>
    <r>
      <rPr>
        <vertAlign val="superscript"/>
        <sz val="10"/>
        <rFont val="Arial"/>
        <family val="2"/>
      </rPr>
      <t>2</t>
    </r>
  </si>
  <si>
    <r>
      <t>2</t>
    </r>
    <r>
      <rPr>
        <sz val="10"/>
        <rFont val="Arial"/>
        <family val="2"/>
      </rPr>
      <t xml:space="preserve">  Her indsættes egne års-graddagetal eller lokale års-graddagetal fra DMI. Vælg "Selvvalg" under Graddage på indtastningsarket.</t>
    </r>
  </si>
  <si>
    <t>TI</t>
  </si>
  <si>
    <r>
      <t>1. Vælg årstal og indtast oplysninger for et eller flere regnskabsår. Graddagetal og fjernvarne-CO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følger automatisk årstal.  </t>
    </r>
  </si>
  <si>
    <t>Hillerød-Farum-Værløse</t>
  </si>
  <si>
    <t>Frifelt Fjernvarme</t>
  </si>
  <si>
    <t>Hemmet</t>
  </si>
  <si>
    <t>Hyllinge</t>
  </si>
  <si>
    <t>Menstrup</t>
  </si>
  <si>
    <t>Gølstrup-Hundelev-Vittrup</t>
  </si>
  <si>
    <t>Balle, Hoed og Glatved</t>
  </si>
  <si>
    <t>Rosmus</t>
  </si>
  <si>
    <t>Stenvad</t>
  </si>
  <si>
    <t>Højby, Svinninge, Nr.Asmindrup</t>
  </si>
  <si>
    <t>Vig</t>
  </si>
  <si>
    <t>Rejsby Fjernvarme</t>
  </si>
  <si>
    <t>Ribe Fjernvarme</t>
  </si>
  <si>
    <t>Gl. Rye</t>
  </si>
  <si>
    <t>Sandved-Tornemark Fjervarme</t>
  </si>
  <si>
    <t>Karby-Hvidbjerg-Redsted Fjernv</t>
  </si>
  <si>
    <t>Slagslunde</t>
  </si>
  <si>
    <t>Smørumnedre Fjernvarme</t>
  </si>
  <si>
    <t>Søndbjerg</t>
  </si>
  <si>
    <t>Trustrup-Lyngby</t>
  </si>
  <si>
    <t>Langkastrup-Uggelhuse</t>
  </si>
  <si>
    <t>Vejby-Tisvilde</t>
  </si>
  <si>
    <t>Ø.Hurup</t>
  </si>
  <si>
    <t xml:space="preserve">      solvarmebidrag og tilskud fra varmepumpe skønnes. Indtast ydermere forbrug af biogas, brænde mv. anvendt til  </t>
  </si>
  <si>
    <t xml:space="preserve">      opvarmningsformål.</t>
  </si>
  <si>
    <t xml:space="preserve">beregningsmetode (GUF = graddageuafhængigt forbrug). Ved energimåler på varmtvandssystemet eller ved eget skøn </t>
  </si>
  <si>
    <t>9.   Indtast måleroplysninger for regnvand anvendt til toiletskyl, tøjvask, havevanding o.l. Medtag også mængden af recir-</t>
  </si>
  <si>
    <t>Graddage</t>
  </si>
  <si>
    <t>30% af koldt vand</t>
  </si>
  <si>
    <t xml:space="preserve">GUF </t>
  </si>
  <si>
    <t>Automatisk</t>
  </si>
  <si>
    <t>Restaffald ved dagrenovation</t>
  </si>
  <si>
    <t xml:space="preserve">   restaffald og storskrald</t>
  </si>
  <si>
    <t xml:space="preserve">Restaffald  i alt pr. person pr. år </t>
  </si>
  <si>
    <t>Restaffald ved storskrald</t>
  </si>
  <si>
    <t>Restaffald i alt</t>
  </si>
  <si>
    <t xml:space="preserve">   ved dagrenovation</t>
  </si>
  <si>
    <t xml:space="preserve">   ved storskrald</t>
  </si>
  <si>
    <t xml:space="preserve">      kuleret gråt spildevand</t>
  </si>
  <si>
    <t>Fjernvarmeleverandør</t>
  </si>
  <si>
    <t>Fjernvarmenet</t>
  </si>
  <si>
    <t>Regnskabsår</t>
  </si>
  <si>
    <t>2. Antal beboere</t>
  </si>
  <si>
    <t>3. Varmeforbrug</t>
  </si>
  <si>
    <t>Fjernvarme (MWh)</t>
  </si>
  <si>
    <t>4. Elforbrug</t>
  </si>
  <si>
    <t>5. Vandforbrug</t>
  </si>
  <si>
    <t>6. Affaldsproduktion</t>
  </si>
  <si>
    <t>BASIS-regneark</t>
  </si>
  <si>
    <t>Opvarmet areal</t>
  </si>
  <si>
    <t>Antal beboere</t>
  </si>
  <si>
    <t>MWh</t>
  </si>
  <si>
    <t>Olie</t>
  </si>
  <si>
    <t>liter</t>
  </si>
  <si>
    <t>Naturgas</t>
  </si>
  <si>
    <t>Varmeforbrug i alt</t>
  </si>
  <si>
    <t>Varme graddagekorrigeret</t>
  </si>
  <si>
    <t xml:space="preserve">   rumvarme </t>
  </si>
  <si>
    <t xml:space="preserve">   varmt vand</t>
  </si>
  <si>
    <t>Varme i alt pr. person pr. år</t>
  </si>
  <si>
    <t>kWh</t>
  </si>
  <si>
    <t>El-forbrug i alt pr. person pr. år</t>
  </si>
  <si>
    <t xml:space="preserve">   koldt vand</t>
  </si>
  <si>
    <t>Vand i alt pr. person pr. år</t>
  </si>
  <si>
    <t>Vand i alt pr. person pr. døgn</t>
  </si>
  <si>
    <t>ton</t>
  </si>
  <si>
    <t xml:space="preserve">   flasker og glas</t>
  </si>
  <si>
    <t xml:space="preserve">   papir og pap</t>
  </si>
  <si>
    <t>Genbrug i alt</t>
  </si>
  <si>
    <t>kg</t>
  </si>
  <si>
    <t>Fjernvarme</t>
  </si>
  <si>
    <t>Gas</t>
  </si>
  <si>
    <t>Solfanger</t>
  </si>
  <si>
    <t>Brændeovn</t>
  </si>
  <si>
    <t>varme i alt</t>
  </si>
  <si>
    <t>Indtastningsark-X</t>
  </si>
  <si>
    <t xml:space="preserve">   Solvarme (MWh)</t>
  </si>
  <si>
    <t>BASIS-X-regneark</t>
  </si>
  <si>
    <t>Antal beboere:</t>
  </si>
  <si>
    <t>Fossile brændsler i alt</t>
  </si>
  <si>
    <t xml:space="preserve">   solvarme</t>
  </si>
  <si>
    <t xml:space="preserve">   fossile brændsler</t>
  </si>
  <si>
    <t xml:space="preserve">   vedvarende energi</t>
  </si>
  <si>
    <t xml:space="preserve">   fossile brændsler </t>
  </si>
  <si>
    <t xml:space="preserve">   standard-el fra nettet</t>
  </si>
  <si>
    <t>Vandværksvand</t>
  </si>
  <si>
    <t xml:space="preserve">   regnvand</t>
  </si>
  <si>
    <t xml:space="preserve">   vandværksvand</t>
  </si>
  <si>
    <t>Storkøbenhavns Fjernvarme</t>
  </si>
  <si>
    <t>Flauenskjold Fjernvarme</t>
  </si>
  <si>
    <t>Herning-Ikast Fjernvarme</t>
  </si>
  <si>
    <t>Århus Fjernvarme</t>
  </si>
  <si>
    <t>Nykøbing Sjælland Fjernvarme</t>
  </si>
  <si>
    <t>Padborg-Bov Fjernvarme</t>
  </si>
  <si>
    <t>Øster Brønderslev Fjernvarme</t>
  </si>
  <si>
    <t>Astrup Fjernvarme</t>
  </si>
  <si>
    <t>Aså Fjernvarme</t>
  </si>
  <si>
    <t>Augustenborg Fjernvarme</t>
  </si>
  <si>
    <t>Aulum Fjernvarme</t>
  </si>
  <si>
    <t>Auning Fjernvarme</t>
  </si>
  <si>
    <t>Bedsted Fjernvarme</t>
  </si>
  <si>
    <t>Bindslev Fjernvarme</t>
  </si>
  <si>
    <t>Bjerringbro Fjernvarme</t>
  </si>
  <si>
    <t>Blenstrup Fjernvarme</t>
  </si>
  <si>
    <t>Blåhøj</t>
  </si>
  <si>
    <t>Bogense Fjernvarme</t>
  </si>
  <si>
    <t>Borup Fjernvarme</t>
  </si>
  <si>
    <t>Bramming Fjernvarme</t>
  </si>
  <si>
    <t>Bredebro Fjernvarme</t>
  </si>
  <si>
    <t>Bredsten-Balle Fjernvarme</t>
  </si>
  <si>
    <t>Broager Fjernvarme</t>
  </si>
  <si>
    <t>Brovst Fjernvarme</t>
  </si>
  <si>
    <t>Brædstrup Fjernvarme</t>
  </si>
  <si>
    <t>Brønderslev Fjernvarme</t>
  </si>
  <si>
    <t>Brørup Fjernvarme</t>
  </si>
  <si>
    <t>Bækmarksbro Fjernvarme</t>
  </si>
  <si>
    <t>Bælum Fjernvarme</t>
  </si>
  <si>
    <t>Bøvlingbjerg Fjernvarme</t>
  </si>
  <si>
    <t>Christiansfeld-Tyrstrup Fjernv</t>
  </si>
  <si>
    <t>Horsens Fjernvarme</t>
  </si>
  <si>
    <t>Grevinge-Herrestrup Fjernvarme</t>
  </si>
  <si>
    <t>Dronninglund Fjernvarme</t>
  </si>
  <si>
    <t>Dueholm Fjernvarme</t>
  </si>
  <si>
    <t>Durup Fjernvarme</t>
  </si>
  <si>
    <t>Dybvad Fjernvarme</t>
  </si>
  <si>
    <t>Ebeltoft Fjernvarme</t>
  </si>
  <si>
    <t>Egtved Fjernvarme</t>
  </si>
  <si>
    <t>Ejby Fjernvarme</t>
  </si>
  <si>
    <t>Ejsing Fjernvarme</t>
  </si>
  <si>
    <t>Ejstrupholm Fjernvarme</t>
  </si>
  <si>
    <t>Horreby Fjernvarme</t>
  </si>
  <si>
    <t>Glesborg Fjernvarme</t>
  </si>
  <si>
    <t>Tranebjerg Fjernvarme</t>
  </si>
  <si>
    <t>Ørum Fjernvarme (Nørre Djurs)</t>
  </si>
  <si>
    <t>Engesvang-Moselund Fjernvarme</t>
  </si>
  <si>
    <t>Esbjerg-Varde Fjernvarme</t>
  </si>
  <si>
    <t>Farstrup-Kølby Fjernvarme</t>
  </si>
  <si>
    <t>Farsø Fjernvarme</t>
  </si>
  <si>
    <t>Faxe Fjernvarme</t>
  </si>
  <si>
    <t>Feldborg Fjernvarme</t>
  </si>
  <si>
    <t>Fensmark Fjernvarme</t>
  </si>
  <si>
    <t>Filskov Fjernvarme</t>
  </si>
  <si>
    <t>Fjerritslev Fjernvarme</t>
  </si>
  <si>
    <t>TVIS</t>
  </si>
  <si>
    <t>Frederiks Fjernvarme</t>
  </si>
  <si>
    <t>Frederikshavn Fjernvarme</t>
  </si>
  <si>
    <t>Frederikssund Fjernvarme</t>
  </si>
  <si>
    <t>Frederiksværk Fjernvarme</t>
  </si>
  <si>
    <t>Frøstrup Fjernvarme</t>
  </si>
  <si>
    <t>Fuglebjerg Fjernvarme</t>
  </si>
  <si>
    <t>Nederby-Debel Fjernvarme</t>
  </si>
  <si>
    <t>Faaborg Fjernvarme</t>
  </si>
  <si>
    <t>Galten Fjernvarme</t>
  </si>
  <si>
    <t>Gassum-Hvidsten Fjernvarme</t>
  </si>
  <si>
    <t>Gedser Fjernvarme</t>
  </si>
  <si>
    <t>Gedsted Fjernvarme</t>
  </si>
  <si>
    <t>Gelsted Fjernvarme</t>
  </si>
  <si>
    <t>Genner Fjernvarme</t>
  </si>
  <si>
    <t>Hellevad Fjernvarme</t>
  </si>
  <si>
    <t>Hovslund Fjernvarme</t>
  </si>
  <si>
    <t>Gilleleje Fjernvarme</t>
  </si>
  <si>
    <t>Give Fjernvarme</t>
  </si>
  <si>
    <t>Gjerlev Fjernvarme</t>
  </si>
  <si>
    <t>Gjøl Fjernvarme</t>
  </si>
  <si>
    <t>Glyngøre Fjernvarme</t>
  </si>
  <si>
    <t>Gram Fjernvarme</t>
  </si>
  <si>
    <t>Grenå Fjernvarme</t>
  </si>
  <si>
    <t>Grindsted Fjernvarme</t>
  </si>
  <si>
    <t>Stenderup-Krogager Fjernvarme</t>
  </si>
  <si>
    <t>Græsted Fjernvarme</t>
  </si>
  <si>
    <t>Gråsten Fjernvarme</t>
  </si>
  <si>
    <t>Gylling-Ørting-Falling Fjernv.</t>
  </si>
  <si>
    <t>Gørding Fjernvarme</t>
  </si>
  <si>
    <t>Haderslev Fjernvarme</t>
  </si>
  <si>
    <t>Haderup Fjernvarme</t>
  </si>
  <si>
    <t>Hadsten Fjernvarme</t>
  </si>
  <si>
    <t>Hadsund By Fjernvarme</t>
  </si>
  <si>
    <t>Hallund Fjernvarme</t>
  </si>
  <si>
    <t>Hals Fjernvarme</t>
  </si>
  <si>
    <t>Halvrimmen Fjernvarme</t>
  </si>
  <si>
    <t>Hammel Fjernvarme</t>
  </si>
  <si>
    <t>Hammershøj Fjernvarme</t>
  </si>
  <si>
    <t>Hanstholm Fjernvarme</t>
  </si>
  <si>
    <t>Harboøre Fjernvarme</t>
  </si>
  <si>
    <t>Hashøj Fjernvarme</t>
  </si>
  <si>
    <t>Klemensker Fjernvarme</t>
  </si>
  <si>
    <t>Haslev Fjernvarme</t>
  </si>
  <si>
    <t>Havndal Fjernvarme</t>
  </si>
  <si>
    <t>Hedensted Fjernvarme</t>
  </si>
  <si>
    <t>Hejnsvig Fjernvarme</t>
  </si>
  <si>
    <t>Nordøstsjællands Fjernvarme</t>
  </si>
  <si>
    <t>Arnborg Fjernvarme</t>
  </si>
  <si>
    <t>Fasterholt Fjernvarme</t>
  </si>
  <si>
    <t>Haunstrup Fjernvarme</t>
  </si>
  <si>
    <t>Høgild Fjernvarme</t>
  </si>
  <si>
    <t>Simmmelkær Fjernvarme</t>
  </si>
  <si>
    <t>Sinding Fjernvarme</t>
  </si>
  <si>
    <t>Hirtshals Fjernvarme</t>
  </si>
  <si>
    <t>Hjallerup Fjernvarme</t>
  </si>
  <si>
    <t>Hjørring Fjernvarme</t>
  </si>
  <si>
    <t>Hobro Fjernvarme</t>
  </si>
  <si>
    <t>Hodsager Fjernvarme</t>
  </si>
  <si>
    <t>Holeby Fjernvarme</t>
  </si>
  <si>
    <t>Holstebro-Struer Fjernvarme</t>
  </si>
  <si>
    <t>Skave-Borbjerg-Hvam Fjernvarme</t>
  </si>
  <si>
    <t>Holsted Fjernvarme</t>
  </si>
  <si>
    <t>Horbelev Fjernvarme</t>
  </si>
  <si>
    <t>Hou Fjernvarme</t>
  </si>
  <si>
    <t>Hovedgård Fjernvarme</t>
  </si>
  <si>
    <t>Humlebæk Fjernvarme</t>
  </si>
  <si>
    <t>Hundslund-Oldrup Fjernvarme</t>
  </si>
  <si>
    <t>Hurup Fjernvarme</t>
  </si>
  <si>
    <t>Hvalpsund Fjernvarme</t>
  </si>
  <si>
    <t>Hvalsø Fjernvarme</t>
  </si>
  <si>
    <t>Hvam Fjernvarme</t>
  </si>
  <si>
    <t>Hvidbjerg Fjernvarme</t>
  </si>
  <si>
    <t>Hvide Sande Fjervarme</t>
  </si>
  <si>
    <t>Hvidebæk Fjernvarme</t>
  </si>
  <si>
    <t>Højslev-Nr. Søby Fjernvarme</t>
  </si>
  <si>
    <t>Høng Fjernvarme</t>
  </si>
  <si>
    <t>Hørby Fjernvarme</t>
  </si>
  <si>
    <t>Viborg Fjernvarme</t>
  </si>
  <si>
    <t>Vildbjerg Fjernvarme</t>
  </si>
  <si>
    <t>Jelling Fjernvarme</t>
  </si>
  <si>
    <t>Jerslev Fjernvarme</t>
  </si>
  <si>
    <t>Jetsmark Fjernvarme</t>
  </si>
  <si>
    <t>Jyderup Fjernvarme</t>
  </si>
  <si>
    <t>Jægerspris Fjernvarme</t>
  </si>
  <si>
    <t>Kalundborg Fjernvarme</t>
  </si>
  <si>
    <t>Karup Fjernvarme</t>
  </si>
  <si>
    <t>Kibæk Fjernvarme</t>
  </si>
  <si>
    <t>Kjellerup Fjernvarme</t>
  </si>
  <si>
    <t>Klejtrup Fjernvarme</t>
  </si>
  <si>
    <t>Kloster Fjernvarme</t>
  </si>
  <si>
    <t>Kongerslev Fjernvarme</t>
  </si>
  <si>
    <t>Korsør Fjernvarme</t>
  </si>
  <si>
    <t>Kværndrup Fjernvarme</t>
  </si>
  <si>
    <t>Kølvrå Fjernvarme</t>
  </si>
  <si>
    <t>Langå Fjernvarme</t>
  </si>
  <si>
    <t>Laurbjerg Fjernvarme</t>
  </si>
  <si>
    <t>Lem Fjernvarme (Ringkøbing)</t>
  </si>
  <si>
    <t>Lemvig Fjernvarme</t>
  </si>
  <si>
    <t>Lendum Fjernvarme</t>
  </si>
  <si>
    <t>Lohals Fjernvarme</t>
  </si>
  <si>
    <t>Byrum Fjernvarme</t>
  </si>
  <si>
    <t>Løgstrup Fjernvarme</t>
  </si>
  <si>
    <t>Løgumkloster Fjernvarme</t>
  </si>
  <si>
    <t>Løjt Kirkeby Fjernvarme</t>
  </si>
  <si>
    <t>Løsning Fjernvarme</t>
  </si>
  <si>
    <t>Manna-Tiese Fjernvarme</t>
  </si>
  <si>
    <t>Mariager Fjernvarme</t>
  </si>
  <si>
    <t>Maribo Fjernvarme</t>
  </si>
  <si>
    <t>Marstal Fjernvarme</t>
  </si>
  <si>
    <t>Mejlby Fjernvarme</t>
  </si>
  <si>
    <t>Mellerup Fjernvarme</t>
  </si>
  <si>
    <t>Mou Fjernvarme</t>
  </si>
  <si>
    <t>Møldrup Fjernvarme</t>
  </si>
  <si>
    <t>Mørke Fjernvarme</t>
  </si>
  <si>
    <t>Mørkøv Fjernvarme</t>
  </si>
  <si>
    <t>Nakskov Fjernvarme</t>
  </si>
  <si>
    <t>Neksø Fjernvarme</t>
  </si>
  <si>
    <t>Nibe Fjernvarme</t>
  </si>
  <si>
    <t>Nordborg Fjernvarme</t>
  </si>
  <si>
    <t>Nyborg Fjernvarme</t>
  </si>
  <si>
    <t>Nykøbing Falster Fjernvarme</t>
  </si>
  <si>
    <t>Nykøbing Mors Fjernvarme</t>
  </si>
  <si>
    <t>Nysted Fjernvarme</t>
  </si>
  <si>
    <t>Næstved Fjernvarme</t>
  </si>
  <si>
    <t>Nørre Alslev Fjernvarme</t>
  </si>
  <si>
    <t>Nørre Snede Fjernvarme</t>
  </si>
  <si>
    <t>Nørre-Nebel Fjernvarme</t>
  </si>
  <si>
    <t>Oue Fjernvarme</t>
  </si>
  <si>
    <t>Outrup Fjernvarme</t>
  </si>
  <si>
    <t>Præstbro Fjernvarme</t>
  </si>
  <si>
    <t>Præstø Fjernvarme</t>
  </si>
  <si>
    <t>Ramme Fjernvarme</t>
  </si>
  <si>
    <t>Ramsing-Lem-Lihme Fjernvarme</t>
  </si>
  <si>
    <t>Randers Fjernvarme</t>
  </si>
  <si>
    <t>Ravnkilde Nysum Fjernvarme</t>
  </si>
  <si>
    <t>Ringe Fjernvarme</t>
  </si>
  <si>
    <t>Ringkøbing Fjernvarme</t>
  </si>
  <si>
    <t>Ringsted Fjernvarme</t>
  </si>
  <si>
    <t>Roslev Fjernvarme</t>
  </si>
  <si>
    <t>Rostrup Fjernvarme</t>
  </si>
  <si>
    <t>Rudkøbing Fjernvarme</t>
  </si>
  <si>
    <t>Ry Fjernvarme</t>
  </si>
  <si>
    <t>Rødby Fjernvarme</t>
  </si>
  <si>
    <t>Rødbyhavn Fjernvarme</t>
  </si>
  <si>
    <t>Rødekærsbro Fjernvarme</t>
  </si>
  <si>
    <t>Rønde By Fjernvarme</t>
  </si>
  <si>
    <t>Rønne Fjernvarme</t>
  </si>
  <si>
    <t>Saltum Fjernvarme</t>
  </si>
  <si>
    <t>Frøslev Fjernvarme</t>
  </si>
  <si>
    <t>Ørding Fjernvarme</t>
  </si>
  <si>
    <t>Øster Assels Fjernvarme</t>
  </si>
  <si>
    <t>Sig Fjernvarme</t>
  </si>
  <si>
    <t>Silkeborg Fjernvarme</t>
  </si>
  <si>
    <t>Sindal Fjernvarme</t>
  </si>
  <si>
    <t>Skagen Fjernvarme</t>
  </si>
  <si>
    <t>Skals Fjernvarme</t>
  </si>
  <si>
    <t>Skive Fjernvarme</t>
  </si>
  <si>
    <t>Skjern Fjernvarme</t>
  </si>
  <si>
    <t>Skovlund Fjernvarme</t>
  </si>
  <si>
    <t>Skovsgård Fjernvarme</t>
  </si>
  <si>
    <t>Skuldelev Fjernvarme</t>
  </si>
  <si>
    <t>Skærbæk Fjernvarme</t>
  </si>
  <si>
    <t>Skørping Fjernvarme</t>
  </si>
  <si>
    <t>Skårup Fjernvarme</t>
  </si>
  <si>
    <t>Slagelse Fjernvarme</t>
  </si>
  <si>
    <t>Snedsted Fjernvarme</t>
  </si>
  <si>
    <t>Snertinge, Særslev, Føllenslev</t>
  </si>
  <si>
    <t>Havdrup Fjernvarme</t>
  </si>
  <si>
    <t>Sorø Fjernvarme</t>
  </si>
  <si>
    <t>Spjald Fjernvarme</t>
  </si>
  <si>
    <t>Stege Fjernvarme</t>
  </si>
  <si>
    <t>Stenstrup Fjernvarme</t>
  </si>
  <si>
    <t>Stoholm Fjernvarme</t>
  </si>
  <si>
    <t>Stokkemarke Fjernvarme</t>
  </si>
  <si>
    <t>Strandby Fjernvarme</t>
  </si>
  <si>
    <t>Stubbekøbing Fjernvarme</t>
  </si>
  <si>
    <t>Støvring Fjernvarme</t>
  </si>
  <si>
    <t>Svebølle-Viskinge Fjernvarme</t>
  </si>
  <si>
    <t>Svendborg Fjernvarme</t>
  </si>
  <si>
    <t>Væggerløse Fjernvarme</t>
  </si>
  <si>
    <t>Sydlangeland Fjernvarme</t>
  </si>
  <si>
    <t>Sæby Fjernvarme</t>
  </si>
  <si>
    <t>Søllested Fjernvarme</t>
  </si>
  <si>
    <t>Sønder Omme Fjernvarme</t>
  </si>
  <si>
    <t>Sønderborg Fjernvarme</t>
  </si>
  <si>
    <t>Sønderholm Fjernvarme</t>
  </si>
  <si>
    <t>Rødding Fjernvarme (Sdr.Jyll)</t>
  </si>
  <si>
    <t>Terndrup Fjernvarme</t>
  </si>
  <si>
    <t>Thisted Fjernvarme</t>
  </si>
  <si>
    <t>Thorsager Fjernvarme</t>
  </si>
  <si>
    <t>Thorsminde Fjernvarme</t>
  </si>
  <si>
    <t>Thorsø Fjernvarme</t>
  </si>
  <si>
    <t>Thyborøn Fjernvarme</t>
  </si>
  <si>
    <t>Tim Fjernvarme</t>
  </si>
  <si>
    <t>Toftlund Fjernvarme</t>
  </si>
  <si>
    <t>Tversted Fjernvarme</t>
  </si>
  <si>
    <t>Store Merløse Fjernvarme</t>
  </si>
  <si>
    <t>Tønder Fjernvarme</t>
  </si>
  <si>
    <t>Tørring Fjernvarme</t>
  </si>
  <si>
    <t>Tårs Fjernvarme</t>
  </si>
  <si>
    <t>Ulbjerg Fjernvarme</t>
  </si>
  <si>
    <t>Uldum Fjernvarme</t>
  </si>
  <si>
    <t>Ulfborg Fjernvarme</t>
  </si>
  <si>
    <t>Ulsted Fjernvarme</t>
  </si>
  <si>
    <t>Ulstrup Fjernvarme</t>
  </si>
  <si>
    <t>Vaarst-Fjellerad Fjernvarme</t>
  </si>
  <si>
    <t>Vamdrup Fjernvarme</t>
  </si>
  <si>
    <t>Vejen Fjernvarme</t>
  </si>
  <si>
    <t>Vemb Fjernvarme</t>
  </si>
  <si>
    <t>Vesløs Fjernvarme</t>
  </si>
  <si>
    <t>Vester Hjermitslev Fjernvarme</t>
  </si>
  <si>
    <t>Vestervig Fjernvarme</t>
  </si>
  <si>
    <t>Videbæk Fjernvarme</t>
  </si>
  <si>
    <t>Vivild Fjernvarme</t>
  </si>
  <si>
    <t>Voersaa Fjernvarme</t>
  </si>
  <si>
    <t>Vojens Fjernvarme</t>
  </si>
  <si>
    <t>Vordingborg Fjernvarme</t>
  </si>
  <si>
    <t>Vorupør Fjernvarme</t>
  </si>
  <si>
    <t>Vrå Fjernvarme</t>
  </si>
  <si>
    <t>Værum-Ørum Fjernvarme</t>
  </si>
  <si>
    <t>Hammershøj-Østerby Fjernvarme</t>
  </si>
  <si>
    <t>Ølgod Fjernvarme</t>
  </si>
  <si>
    <t>Ørnhøj-Grønbjerg Fjernvarme</t>
  </si>
  <si>
    <t>Ørslev-Terslev Fjernvarme</t>
  </si>
  <si>
    <t>Ørsted Fjernvarme</t>
  </si>
  <si>
    <t>Ørum Fjernvarme (Tjele)</t>
  </si>
  <si>
    <t>Østbirk Fjernvarme</t>
  </si>
  <si>
    <t>Øster Hornum Fjernvarme</t>
  </si>
  <si>
    <t>Sundby-Øster Toreby Fjernvarme</t>
  </si>
  <si>
    <t>Østerild Fjernvarme</t>
  </si>
  <si>
    <t>Harlev-Framlev Fjernvarme</t>
  </si>
  <si>
    <t>Sabro Fjernvarme</t>
  </si>
  <si>
    <t>Solbjerg Fjernvarme</t>
  </si>
  <si>
    <t>VARME</t>
  </si>
  <si>
    <t>EL</t>
  </si>
  <si>
    <t>VAND</t>
  </si>
  <si>
    <t>AFFALD</t>
  </si>
  <si>
    <t>8 Alternativ elforsyning</t>
  </si>
  <si>
    <t>7. Alternative varmekilder</t>
  </si>
  <si>
    <t>9. Alternativ vandforsyning</t>
  </si>
  <si>
    <t>10. Affald til genbrug</t>
  </si>
  <si>
    <t xml:space="preserve">    Flasker og glas (ton)</t>
  </si>
  <si>
    <t>Genbrugsprocent</t>
  </si>
  <si>
    <t>%</t>
  </si>
  <si>
    <t xml:space="preserve">   heraf til varmt vand (GUF)</t>
  </si>
  <si>
    <t xml:space="preserve">Elforbrug i alt </t>
  </si>
  <si>
    <t xml:space="preserve">   privat elforbrug</t>
  </si>
  <si>
    <t xml:space="preserve">   fælles elforbrug</t>
  </si>
  <si>
    <t xml:space="preserve">   heraf forbrugt til varmt vand</t>
  </si>
  <si>
    <t>Navn på boligen/bebyggelsen</t>
  </si>
  <si>
    <t>MWh  varme</t>
  </si>
  <si>
    <t>kWh  el</t>
  </si>
  <si>
    <t xml:space="preserve">    Bioaffald / grøn fraktion (ton)</t>
  </si>
  <si>
    <t xml:space="preserve">   bioaffald / grøn fraktion</t>
  </si>
  <si>
    <t xml:space="preserve">   gråt spildevand</t>
  </si>
  <si>
    <t xml:space="preserve">   alternativ vandforsynng</t>
  </si>
  <si>
    <t xml:space="preserve">    Papir og pap (ton)</t>
  </si>
  <si>
    <t xml:space="preserve">    Andet genbrug (ton)</t>
  </si>
  <si>
    <t>Andet, ekskl. genbrug</t>
  </si>
  <si>
    <t>Elforbrug i alt pr. person pr. år</t>
  </si>
  <si>
    <r>
      <t xml:space="preserve">   kg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pr. leveret MWh</t>
    </r>
  </si>
  <si>
    <r>
      <t>Naturgas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</si>
  <si>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Tilført drikkevand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</si>
  <si>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Aflæst varmtvandsforbrug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</si>
  <si>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m</t>
    </r>
    <r>
      <rPr>
        <vertAlign val="superscript"/>
        <sz val="14"/>
        <rFont val="Arial"/>
        <family val="2"/>
      </rPr>
      <t>3</t>
    </r>
  </si>
  <si>
    <r>
      <t>m</t>
    </r>
    <r>
      <rPr>
        <b/>
        <vertAlign val="superscript"/>
        <sz val="14"/>
        <rFont val="Arial"/>
        <family val="2"/>
      </rPr>
      <t>3</t>
    </r>
  </si>
  <si>
    <r>
      <t>CO</t>
    </r>
    <r>
      <rPr>
        <vertAlign val="subscript"/>
        <sz val="14"/>
        <rFont val="Arial"/>
        <family val="2"/>
      </rPr>
      <t xml:space="preserve">2 </t>
    </r>
    <r>
      <rPr>
        <sz val="14"/>
        <rFont val="Arial"/>
        <family val="2"/>
      </rPr>
      <t>-udslip i alt</t>
    </r>
  </si>
  <si>
    <r>
      <t>CO</t>
    </r>
    <r>
      <rPr>
        <b/>
        <vertAlign val="sub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-udslip i alt pr. person pr. år</t>
    </r>
  </si>
  <si>
    <r>
      <t>m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 vand</t>
    </r>
  </si>
  <si>
    <r>
      <t xml:space="preserve"> ton  CO</t>
    </r>
    <r>
      <rPr>
        <vertAlign val="subscript"/>
        <sz val="14"/>
        <rFont val="Arial"/>
        <family val="2"/>
      </rPr>
      <t>2</t>
    </r>
  </si>
  <si>
    <r>
      <t>m</t>
    </r>
    <r>
      <rPr>
        <vertAlign val="superscript"/>
        <sz val="14"/>
        <rFont val="Arial"/>
        <family val="2"/>
      </rPr>
      <t>2</t>
    </r>
  </si>
  <si>
    <r>
      <t>CO</t>
    </r>
    <r>
      <rPr>
        <b/>
        <vertAlign val="subscript"/>
        <sz val="14"/>
        <rFont val="Arial"/>
        <family val="2"/>
      </rPr>
      <t>2</t>
    </r>
  </si>
  <si>
    <r>
      <t xml:space="preserve">   Regnvand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</si>
  <si>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 xml:space="preserve">   Recirk. af gråt spildevand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</si>
  <si>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 xml:space="preserve">   ved varme-produktion</t>
  </si>
  <si>
    <t xml:space="preserve">   ved el-produktion</t>
  </si>
  <si>
    <t>Varme-produktion</t>
  </si>
  <si>
    <t>El-produktion</t>
  </si>
  <si>
    <r>
      <t>Opvarmet areal, m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>:</t>
    </r>
  </si>
  <si>
    <r>
      <t>CO</t>
    </r>
    <r>
      <rPr>
        <b/>
        <vertAlign val="subscript"/>
        <sz val="18"/>
        <rFont val="Helv"/>
      </rPr>
      <t>2</t>
    </r>
    <r>
      <rPr>
        <b/>
        <sz val="18"/>
        <rFont val="Helv"/>
      </rPr>
      <t>-emissionstal for fjernvarmenet</t>
    </r>
  </si>
  <si>
    <r>
      <t>1. Opvarmet areal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</si>
  <si>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 xml:space="preserve">   Brænde, løvtræ (rummeter)</t>
  </si>
  <si>
    <t xml:space="preserve">   Brænde, nåletræ (rummeter)</t>
  </si>
  <si>
    <t xml:space="preserve">   biobrændsel </t>
  </si>
  <si>
    <t xml:space="preserve">Fjernvarme </t>
  </si>
  <si>
    <r>
      <t xml:space="preserve">   Biogas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</si>
  <si>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 xml:space="preserve">   Halm (ton)</t>
  </si>
  <si>
    <t>Fyringsolie (liter)</t>
  </si>
  <si>
    <t>Fyringsolie</t>
  </si>
  <si>
    <t>Affald i alt pr. person  pr. år</t>
  </si>
  <si>
    <r>
      <t>m</t>
    </r>
    <r>
      <rPr>
        <vertAlign val="superscript"/>
        <sz val="14"/>
        <rFont val="Arial"/>
        <family val="2"/>
      </rPr>
      <t>3</t>
    </r>
    <r>
      <rPr>
        <sz val="14"/>
        <rFont val="Arial"/>
        <family val="2"/>
      </rPr>
      <t xml:space="preserve"> vand</t>
    </r>
  </si>
  <si>
    <t>Udfyld med supplerende forbrugs- og affaldsdata.</t>
  </si>
  <si>
    <t xml:space="preserve">10. Indtast til sidst data for alle genbrugsfraktioner - haveaffald undtaget. </t>
  </si>
  <si>
    <t xml:space="preserve">   genbrug</t>
  </si>
  <si>
    <t>kg  affald</t>
  </si>
  <si>
    <t>Affald, inkl. genbrug, i alt</t>
  </si>
  <si>
    <t>Dagrenovation og storskrald mv.</t>
  </si>
  <si>
    <t>Andet, ekskl. genbrug (ton)</t>
  </si>
  <si>
    <t>Maj</t>
  </si>
  <si>
    <t>BASIS-diagrammer</t>
  </si>
  <si>
    <t>BASIS-X-diagrammer</t>
  </si>
  <si>
    <t>Ved varme-produktion</t>
  </si>
  <si>
    <t>Ved el-produktion</t>
  </si>
  <si>
    <t>Budget</t>
  </si>
  <si>
    <t>Restaffald ved dagrenovation (ton)</t>
  </si>
  <si>
    <t xml:space="preserve">   Træpiller (ton)</t>
  </si>
  <si>
    <t>Normalår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</si>
  <si>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</si>
  <si>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</si>
  <si>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</si>
  <si>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</si>
  <si>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</si>
  <si>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</si>
  <si>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</si>
  <si>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</si>
  <si>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</si>
  <si>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</si>
  <si>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</si>
  <si>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Graddagetal</t>
  </si>
  <si>
    <t>Normal sæson</t>
  </si>
  <si>
    <r>
      <t>Standard</t>
    </r>
    <r>
      <rPr>
        <vertAlign val="superscript"/>
        <sz val="10"/>
        <rFont val="Arial"/>
        <family val="2"/>
      </rPr>
      <t>1</t>
    </r>
  </si>
  <si>
    <t>25% af energiforbrug</t>
  </si>
  <si>
    <t>Forudbestemt</t>
  </si>
  <si>
    <t xml:space="preserve">   Alternativ elforsyning</t>
  </si>
  <si>
    <t xml:space="preserve">                Aktuelle regnskabsår</t>
  </si>
  <si>
    <t xml:space="preserve">Graddagesystem </t>
  </si>
  <si>
    <t xml:space="preserve">Indeks: </t>
  </si>
  <si>
    <t>1 MWh pr. person</t>
  </si>
  <si>
    <t xml:space="preserve">7.   Indtast måleroplysninger for varmebidrag fra solfanger og netto varmetilskud fra varmepumpe. For små anlæg må </t>
  </si>
  <si>
    <t>Assens Fjernvarme</t>
  </si>
  <si>
    <t>Hov-Boulstrup</t>
  </si>
  <si>
    <t>Brøns Fjernvarme</t>
  </si>
  <si>
    <t xml:space="preserve">El leveret af elselskab </t>
  </si>
  <si>
    <t xml:space="preserve">   Skovflis (ton)</t>
  </si>
  <si>
    <t>Indtastningsark</t>
  </si>
  <si>
    <t>Varmt vand (GUF) (MWh)</t>
  </si>
  <si>
    <r>
      <t>Fjernvarme-CO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(regnskabsår)</t>
    </r>
  </si>
  <si>
    <r>
      <t xml:space="preserve">Regnvand </t>
    </r>
    <r>
      <rPr>
        <sz val="11"/>
        <rFont val="Arial"/>
        <family val="2"/>
      </rPr>
      <t>(BASIS-X-regneark)</t>
    </r>
  </si>
  <si>
    <r>
      <t xml:space="preserve">Varme graddagekorrigeret </t>
    </r>
    <r>
      <rPr>
        <sz val="8"/>
        <rFont val="Arial"/>
        <family val="2"/>
      </rPr>
      <t>(BASIS regneark)</t>
    </r>
  </si>
  <si>
    <r>
      <t xml:space="preserve">Vedvarende energi </t>
    </r>
    <r>
      <rPr>
        <sz val="8"/>
        <rFont val="Arial"/>
        <family val="2"/>
      </rPr>
      <t>(BASIS-X-regneark)</t>
    </r>
  </si>
  <si>
    <t xml:space="preserve"> </t>
  </si>
  <si>
    <r>
      <t>Ved opvarmning med fjernvarme udpeges fjernvarmeleverandør for bestemmelse af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-emissionstal. Bemærk at  </t>
    </r>
  </si>
  <si>
    <t xml:space="preserve">samme fjernvarmeleverandør godt kan være leverandør til flere net. Tjek derfor om nettet er det rigtige. </t>
  </si>
  <si>
    <t>Assens (v. Mariager) Fjernvarme</t>
  </si>
  <si>
    <t>Fælles elmålere (kWh)</t>
  </si>
  <si>
    <t>Private elmålere (kWh)</t>
  </si>
  <si>
    <r>
      <t>1</t>
    </r>
    <r>
      <rPr>
        <sz val="10"/>
        <rFont val="Arial"/>
        <family val="2"/>
      </rPr>
      <t xml:space="preserve">  Standard-graddagetal fra teknologisk Institut offentliggøres på tekst-TV og på Teknologisk Instituts hjemmeside: </t>
    </r>
  </si>
  <si>
    <t xml:space="preserve">Vælg graddagesystem. Ved "Selvvalg" indsættes egne graddagetal under fanebladet Graddage. Vælg også GUF- </t>
  </si>
  <si>
    <t>af GUF ud fra sommerforbrug e.l., vælg  da "Forudbestemt" og indtast værdier i linie 48: Varmt vand (GUF).</t>
  </si>
  <si>
    <t xml:space="preserve">    Anvend evt. en søjle til "budget" (normalårets graddagetal). Ved brug af regnskabet til sammenligning af forskellige  </t>
  </si>
  <si>
    <t xml:space="preserve">    boligområder, samme år, anføres navn, afdeling, opgang e.l. i Indeks-feltet øverst. Dermed erstatter tekst automatisk årstal.</t>
  </si>
  <si>
    <t xml:space="preserve">   Træbriketter (pakker á 10 kg)</t>
  </si>
  <si>
    <t>Elvarme</t>
  </si>
  <si>
    <t>Elvarme (kWh)</t>
  </si>
  <si>
    <t>El til varmepumpe (kWh)</t>
  </si>
  <si>
    <t>30% (opf. før 1979)</t>
  </si>
  <si>
    <t>40% (opf. efter 1979)</t>
  </si>
  <si>
    <t>Ukendt</t>
  </si>
  <si>
    <t>2016-17</t>
  </si>
  <si>
    <t>2017-18</t>
  </si>
  <si>
    <t>2018-19</t>
  </si>
  <si>
    <t>Ballen-Brundby-Kolby-Permelill</t>
  </si>
  <si>
    <t>Billund Fjernvarme</t>
  </si>
  <si>
    <t>Brande Fjernvarme</t>
  </si>
  <si>
    <t>DTU-Holte-Nærum Fjernvarme (inkl. Øverød, Teknikerbyen, Skodsborg)</t>
  </si>
  <si>
    <t>Gjerrild</t>
  </si>
  <si>
    <t>Hasle Fjernvarme (Bornholms Forsyning tidl. Vestbornholms)</t>
  </si>
  <si>
    <t>Havneby Fjernvarme (Rømø)</t>
  </si>
  <si>
    <t>Helsinge Fjernvarme</t>
  </si>
  <si>
    <t>Hundested Fjernvarme</t>
  </si>
  <si>
    <t>Kolind Fjernvarme</t>
  </si>
  <si>
    <t>Kyndby Fjernvarme</t>
  </si>
  <si>
    <t>Løgstør-Ranum-Vindblæs Fjernvarmenet</t>
  </si>
  <si>
    <t>Mesballe</t>
  </si>
  <si>
    <t>Nordby-Mårup</t>
  </si>
  <si>
    <t>Oksbøl Fjernvarme</t>
  </si>
  <si>
    <t>Onsbjerg Fjernvarme</t>
  </si>
  <si>
    <t>Sdr. Nissum</t>
  </si>
  <si>
    <t>Slangerup Fjernvarme</t>
  </si>
  <si>
    <t>Sønder Felding Fjernvarme</t>
  </si>
  <si>
    <t>St-Rise/Dunkær</t>
  </si>
  <si>
    <t>Studsgård Fjernvarme</t>
  </si>
  <si>
    <t>Tarm Fjernvarme (fra 2013 incl. Ådum)</t>
  </si>
  <si>
    <t>Tirstrup</t>
  </si>
  <si>
    <t>Tistrup Fjernvarme</t>
  </si>
  <si>
    <t>Tommerup Fjernvarme I/S (fusion af Tommerup by Fjernvarme og Tommerup Stationsby Fjernvarme)</t>
  </si>
  <si>
    <t>Tranum Fjernvarme</t>
  </si>
  <si>
    <t>Troldhede Fjernvarme</t>
  </si>
  <si>
    <t>Vegger Fjernvarme</t>
  </si>
  <si>
    <t>Vinderup - Sevel Fjernvarme</t>
  </si>
  <si>
    <t>Løkken Fjernvarme</t>
  </si>
  <si>
    <t>FV-net-navn</t>
  </si>
  <si>
    <t xml:space="preserve">Ved opvarmning emd varmepumpe indtastes årsvirkningsgrad. De ringeste pumper ligger på 2,8, de bedste på 3,2.  </t>
  </si>
  <si>
    <t>2. Præcis angivelse af antal beboere er vigtig. Ved stor ejendomme fås det via kommunens folkeregister.</t>
  </si>
  <si>
    <t>3. Indtast forbrug af fjernvarme, fyringsolie, naturgas og el til varmepumpe og elvarme, evt. kombinationer heraf. Bemærk enhed.</t>
  </si>
  <si>
    <t>Agersted Fjernvarme</t>
  </si>
  <si>
    <t>Allingåbro Fjernvarme</t>
  </si>
  <si>
    <t>Als Fjernvarme</t>
  </si>
  <si>
    <t>Ans Fjernvarme</t>
  </si>
  <si>
    <t>Ansager Fjernvarme</t>
  </si>
  <si>
    <t>Arden Fjernvarme</t>
  </si>
  <si>
    <t>Egedal fjernvarmenet</t>
  </si>
  <si>
    <t>Glamsbjerg-Haarby Fjernvarme</t>
  </si>
  <si>
    <t>Ærøskøbing Fjernvarme</t>
  </si>
  <si>
    <t>Aabenrå - Rødekro - Hjordkær Fjernvarme</t>
  </si>
  <si>
    <t>Aabybro Fjernvarme</t>
  </si>
  <si>
    <t>Aakirkeby og Lobbæk Fjernvarme</t>
  </si>
  <si>
    <t>Aalborg Fjernvarme</t>
  </si>
  <si>
    <t>Aalestrup Fjernvarme</t>
  </si>
  <si>
    <t>Aars Fjernvarme</t>
  </si>
  <si>
    <t>SCOP effektivitet varmepumpe</t>
  </si>
  <si>
    <t>2019-20</t>
  </si>
  <si>
    <r>
      <t>ab net: kg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 varme leveret</t>
    </r>
  </si>
  <si>
    <t>Føns Fjernvarmenet</t>
  </si>
  <si>
    <t>Nimtofte og Omegns Fjernvarmeforsyning (NOFF)</t>
  </si>
  <si>
    <t>Ryomgård Fjernvarme</t>
  </si>
  <si>
    <t>2020-21</t>
  </si>
  <si>
    <r>
      <t>CO</t>
    </r>
    <r>
      <rPr>
        <b/>
        <vertAlign val="subscript"/>
        <sz val="18"/>
        <rFont val="Helv"/>
      </rPr>
      <t>2</t>
    </r>
    <r>
      <rPr>
        <b/>
        <sz val="18"/>
        <rFont val="Helv"/>
      </rPr>
      <t>-emissionstal for el</t>
    </r>
  </si>
  <si>
    <t>g/kWh</t>
  </si>
  <si>
    <t xml:space="preserve">   plast-emballage </t>
  </si>
  <si>
    <t>FV net id</t>
  </si>
  <si>
    <r>
      <t>kg CO</t>
    </r>
    <r>
      <rPr>
        <b/>
        <vertAlign val="subscript"/>
        <sz val="10"/>
        <color indexed="10"/>
        <rFont val="Helv"/>
      </rPr>
      <t>2</t>
    </r>
    <r>
      <rPr>
        <b/>
        <sz val="10"/>
        <color indexed="10"/>
        <rFont val="Helv"/>
      </rPr>
      <t xml:space="preserve"> pr. MWh varme</t>
    </r>
  </si>
  <si>
    <r>
      <t>El-CO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-nøgletal (g/kWh)</t>
    </r>
  </si>
  <si>
    <t>2021-22</t>
  </si>
  <si>
    <t>Balling-Rødding Fjernvarmenet</t>
  </si>
  <si>
    <t>Fjernvarme Fyn</t>
  </si>
  <si>
    <t>Ullerslev Fjernvarme</t>
  </si>
  <si>
    <t>Davinde Fjernvarme</t>
  </si>
  <si>
    <t>normalår</t>
  </si>
  <si>
    <t>2022-23</t>
  </si>
  <si>
    <t>Kilde: Energistyrelsens energiproducenttælling 2021</t>
  </si>
  <si>
    <r>
      <rPr>
        <sz val="10"/>
        <rFont val="Arial"/>
        <family val="2"/>
      </rPr>
      <t>Prognose</t>
    </r>
    <r>
      <rPr>
        <b/>
        <sz val="10"/>
        <rFont val="Arial"/>
        <family val="2"/>
      </rPr>
      <t xml:space="preserve"> 2022-23</t>
    </r>
  </si>
  <si>
    <t>Gennem-snit</t>
  </si>
  <si>
    <r>
      <t>CO</t>
    </r>
    <r>
      <rPr>
        <b/>
        <vertAlign val="sub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-udslip i alt pr. 100m</t>
    </r>
    <r>
      <rPr>
        <b/>
        <vertAlign val="superscript"/>
        <sz val="14"/>
        <rFont val="Arial"/>
        <family val="2"/>
      </rPr>
      <t>2</t>
    </r>
    <r>
      <rPr>
        <b/>
        <sz val="14"/>
        <rFont val="Arial"/>
        <family val="2"/>
      </rPr>
      <t xml:space="preserve"> pr. år</t>
    </r>
  </si>
  <si>
    <r>
      <t>Fjernvarme-CO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(kg pr. MWh)</t>
    </r>
  </si>
  <si>
    <t>2023-24</t>
  </si>
  <si>
    <t>Års-virkningsgrader varmepumper (ÅCOP)</t>
  </si>
  <si>
    <t>GUF-beregning (MWh)</t>
  </si>
  <si>
    <t xml:space="preserve">    Indtast evt. energi til varmt vand/GUF (ved energimåler på varmtvandsanlægget eller ud fra sommerforbrug). </t>
  </si>
  <si>
    <t>Budget 2024</t>
  </si>
  <si>
    <t>Klimaly</t>
  </si>
  <si>
    <t>2024-25</t>
  </si>
  <si>
    <t>Ikke genbrugeligt affald  (ton)</t>
  </si>
  <si>
    <r>
      <t>Varme i alt pr. m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bolig pr. år</t>
    </r>
  </si>
  <si>
    <t>Tek. Institut</t>
  </si>
  <si>
    <t>Andet</t>
  </si>
  <si>
    <t xml:space="preserve">   Vind fra egne vindmølle (MWh)</t>
  </si>
  <si>
    <t xml:space="preserve">8.   Indtast produktion fra egen vindmølleproduktion og el produceret ved hjælp af solceller. Ved time- og straksafregning </t>
  </si>
  <si>
    <r>
      <t xml:space="preserve">El ved solcelleanlæg </t>
    </r>
    <r>
      <rPr>
        <sz val="6"/>
        <rFont val="Arial"/>
        <family val="2"/>
      </rPr>
      <t>fra Indtastningsark-X</t>
    </r>
  </si>
  <si>
    <t>6. Indtast til sidst data for affaldsmængder - genbrugsfraktioner undtaget. Sidstnævnte oæpgøres i Indtasningsark-X</t>
  </si>
  <si>
    <t>Fællesmålere</t>
  </si>
  <si>
    <t>Elmålere i private husstande</t>
  </si>
  <si>
    <t>Nettoforbrug ved VE-anlæg</t>
  </si>
  <si>
    <t>El-forbrug som følge af VE-anlæg</t>
  </si>
  <si>
    <t xml:space="preserve">   El ved solcelleanlæg (MWh)</t>
  </si>
  <si>
    <t xml:space="preserve"> prognose.</t>
  </si>
  <si>
    <t xml:space="preserve">    VE købt på Nettet (MWh)</t>
  </si>
  <si>
    <t xml:space="preserve">    VE solgt til Nettet (MWh)</t>
  </si>
  <si>
    <t xml:space="preserve">   det som et Nettoforbrug, dvs. vindmølle- eller solcelleproduktion tillagt køb af el fra Nettet og fratrukket salg at el til Nettet. </t>
  </si>
  <si>
    <t xml:space="preserve">5. Indtast både privat og fælles elforbrug. Ved egen VE-produktion hentes elforbrug automatisk fra indtastningsark-X. Her oppgøres </t>
  </si>
  <si>
    <t xml:space="preserve">     (lovkrav) indtastes derudover mænden af el købt på nettet (måleaflæsning 118) og el solgt til nettet (måleraflæsning 218).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</si>
</sst>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 * #,##0.00_ ;_ * \-#,##0.00_ ;_ * &quot;-&quot;??_ ;_ @_ "/>
    <numFmt numFmtId="165" formatCode="General_)"/>
    <numFmt numFmtId="166" formatCode="#,"/>
    <numFmt numFmtId="167" formatCode="#,##0.0_);\(#,##0.0\)"/>
    <numFmt numFmtId="168" formatCode="_ * #,##0.0_ ;_ * \-#,##0.0_ ;_ * &quot;-&quot;??_ ;_ @_ "/>
    <numFmt numFmtId="169" formatCode="_ * #,##0_ ;_ * \-#,##0_ ;_ * &quot;-&quot;??_ ;_ @_ "/>
    <numFmt numFmtId="170" formatCode="0.0_)"/>
    <numFmt numFmtId="171" formatCode="0_)"/>
    <numFmt numFmtId="172" formatCode="0.0"/>
    <numFmt numFmtId="173" formatCode="#,##0.000_);\(#,##0.000\)"/>
    <numFmt numFmtId="174" formatCode="0_);\(0\)"/>
    <numFmt numFmtId="175" formatCode="#"/>
    <numFmt numFmtId="176" formatCode="#,###"/>
    <numFmt numFmtId="177" formatCode="#,###.0"/>
    <numFmt numFmtId="178" formatCode="#,##0.0"/>
    <numFmt numFmtId="179" formatCode="#,###.000"/>
  </numFmts>
  <fonts count="102">
    <font>
      <sz val="10"/>
      <name val="Arial"/>
    </font>
    <font>
      <sz val="10"/>
      <name val="Arial"/>
      <family val="2"/>
    </font>
    <font>
      <sz val="1"/>
      <color indexed="18"/>
      <name val="Courier"/>
      <family val="3"/>
    </font>
    <font>
      <sz val="1"/>
      <color indexed="16"/>
      <name val="Courier"/>
      <family val="3"/>
    </font>
    <font>
      <sz val="12"/>
      <name val="Courier"/>
      <family val="3"/>
    </font>
    <font>
      <b/>
      <sz val="1"/>
      <color indexed="16"/>
      <name val="Courier"/>
      <family val="3"/>
    </font>
    <font>
      <sz val="12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Courier"/>
      <family val="3"/>
    </font>
    <font>
      <b/>
      <sz val="14"/>
      <color indexed="20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sz val="22"/>
      <color indexed="12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0"/>
      <color indexed="10"/>
      <name val="Arial"/>
      <family val="2"/>
    </font>
    <font>
      <sz val="12"/>
      <color indexed="11"/>
      <name val="Courier"/>
      <family val="3"/>
    </font>
    <font>
      <sz val="12"/>
      <color indexed="57"/>
      <name val="Courier"/>
      <family val="3"/>
    </font>
    <font>
      <sz val="10"/>
      <name val="Helv"/>
    </font>
    <font>
      <sz val="8"/>
      <name val="Arial"/>
      <family val="2"/>
    </font>
    <font>
      <i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8"/>
      <color indexed="10"/>
      <name val="Arial"/>
      <family val="2"/>
    </font>
    <font>
      <sz val="16"/>
      <name val="Arial"/>
      <family val="2"/>
    </font>
    <font>
      <sz val="18"/>
      <color indexed="8"/>
      <name val="Arial"/>
      <family val="2"/>
    </font>
    <font>
      <sz val="26"/>
      <name val="Arial"/>
      <family val="2"/>
    </font>
    <font>
      <sz val="8"/>
      <color indexed="8"/>
      <name val="Arial"/>
      <family val="2"/>
    </font>
    <font>
      <sz val="12"/>
      <color indexed="12"/>
      <name val="Courier"/>
      <family val="3"/>
    </font>
    <font>
      <sz val="14"/>
      <color indexed="12"/>
      <name val="Arial"/>
      <family val="2"/>
    </font>
    <font>
      <sz val="12"/>
      <color indexed="10"/>
      <name val="Courier"/>
      <family val="3"/>
    </font>
    <font>
      <sz val="10"/>
      <color indexed="10"/>
      <name val="Arial"/>
      <family val="2"/>
    </font>
    <font>
      <b/>
      <sz val="22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8"/>
      <name val="Helv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vertAlign val="superscript"/>
      <sz val="14"/>
      <name val="Arial"/>
      <family val="2"/>
    </font>
    <font>
      <b/>
      <vertAlign val="superscript"/>
      <sz val="14"/>
      <name val="Arial"/>
      <family val="2"/>
    </font>
    <font>
      <vertAlign val="subscript"/>
      <sz val="14"/>
      <name val="Arial"/>
      <family val="2"/>
    </font>
    <font>
      <b/>
      <vertAlign val="subscript"/>
      <sz val="14"/>
      <name val="Arial"/>
      <family val="2"/>
    </font>
    <font>
      <b/>
      <vertAlign val="subscript"/>
      <sz val="18"/>
      <name val="Helv"/>
    </font>
    <font>
      <b/>
      <vertAlign val="superscript"/>
      <sz val="10"/>
      <name val="Arial"/>
      <family val="2"/>
    </font>
    <font>
      <sz val="10"/>
      <name val="Palatino"/>
      <family val="1"/>
    </font>
    <font>
      <u/>
      <sz val="10"/>
      <color indexed="12"/>
      <name val="Arial"/>
      <family val="2"/>
    </font>
    <font>
      <sz val="10"/>
      <color indexed="13"/>
      <name val="Arial"/>
      <family val="2"/>
    </font>
    <font>
      <b/>
      <sz val="16"/>
      <name val="Arial"/>
      <family val="2"/>
    </font>
    <font>
      <sz val="10"/>
      <color indexed="50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sz val="10"/>
      <color indexed="48"/>
      <name val="Arial"/>
      <family val="2"/>
    </font>
    <font>
      <sz val="8"/>
      <color indexed="13"/>
      <name val="Arial"/>
      <family val="2"/>
    </font>
    <font>
      <sz val="10"/>
      <color indexed="22"/>
      <name val="Palatino"/>
      <family val="1"/>
    </font>
    <font>
      <b/>
      <sz val="10"/>
      <color indexed="22"/>
      <name val="Arial"/>
      <family val="2"/>
    </font>
    <font>
      <sz val="10"/>
      <color indexed="22"/>
      <name val="Arial"/>
      <family val="2"/>
    </font>
    <font>
      <b/>
      <sz val="10"/>
      <color indexed="10"/>
      <name val="Helv"/>
    </font>
    <font>
      <b/>
      <vertAlign val="subscript"/>
      <sz val="10"/>
      <color indexed="10"/>
      <name val="Helv"/>
    </font>
    <font>
      <u/>
      <sz val="8"/>
      <color indexed="12"/>
      <name val="Arial"/>
      <family val="2"/>
    </font>
    <font>
      <sz val="11"/>
      <name val="Arial"/>
      <family val="2"/>
    </font>
    <font>
      <sz val="10"/>
      <color indexed="13"/>
      <name val="Arial"/>
      <family val="2"/>
    </font>
    <font>
      <sz val="8"/>
      <color indexed="13"/>
      <name val="Arial"/>
      <family val="2"/>
    </font>
    <font>
      <sz val="10"/>
      <color rgb="FFFFFF00"/>
      <name val="Arial"/>
      <family val="2"/>
    </font>
    <font>
      <sz val="6"/>
      <color rgb="FFFFFF00"/>
      <name val="Arial"/>
      <family val="2"/>
    </font>
    <font>
      <sz val="8"/>
      <color rgb="FFFFFF00"/>
      <name val="Arial"/>
      <family val="2"/>
    </font>
    <font>
      <sz val="10"/>
      <color theme="0" tint="-0.14999847407452621"/>
      <name val="Helv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Helv"/>
    </font>
    <font>
      <b/>
      <sz val="11"/>
      <name val="Calibri"/>
      <family val="2"/>
      <scheme val="minor"/>
    </font>
    <font>
      <sz val="6"/>
      <name val="Arial"/>
      <family val="2"/>
    </font>
    <font>
      <sz val="10"/>
      <color theme="5"/>
      <name val="Helv"/>
    </font>
    <font>
      <sz val="10"/>
      <color theme="5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Helv"/>
    </font>
    <font>
      <sz val="10"/>
      <color theme="9" tint="-0.499984740745262"/>
      <name val="Helv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sz val="14"/>
      <color rgb="FF0070C0"/>
      <name val="Arial"/>
      <family val="2"/>
    </font>
    <font>
      <sz val="12"/>
      <color rgb="FF0070C0"/>
      <name val="Courier"/>
      <family val="3"/>
    </font>
    <font>
      <sz val="10"/>
      <color theme="2" tint="-9.9978637043366805E-2"/>
      <name val="Arial"/>
      <family val="2"/>
    </font>
    <font>
      <b/>
      <sz val="10"/>
      <color rgb="FFFF0000"/>
      <name val="Arial"/>
      <family val="2"/>
    </font>
    <font>
      <sz val="10"/>
      <color theme="9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6" fontId="2" fillId="0" borderId="0">
      <protection locked="0"/>
    </xf>
    <xf numFmtId="166" fontId="3" fillId="0" borderId="0">
      <protection locked="0"/>
    </xf>
    <xf numFmtId="166" fontId="3" fillId="0" borderId="0">
      <protection locked="0"/>
    </xf>
    <xf numFmtId="166" fontId="3" fillId="0" borderId="0">
      <protection locked="0"/>
    </xf>
    <xf numFmtId="164" fontId="1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32" fillId="0" borderId="0"/>
    <xf numFmtId="165" fontId="4" fillId="0" borderId="0"/>
    <xf numFmtId="37" fontId="4" fillId="0" borderId="0"/>
    <xf numFmtId="0" fontId="4" fillId="0" borderId="0"/>
    <xf numFmtId="166" fontId="5" fillId="0" borderId="0">
      <protection locked="0"/>
    </xf>
    <xf numFmtId="166" fontId="5" fillId="0" borderId="0">
      <protection locked="0"/>
    </xf>
    <xf numFmtId="166" fontId="3" fillId="0" borderId="0">
      <protection locked="0"/>
    </xf>
    <xf numFmtId="166" fontId="3" fillId="0" borderId="1">
      <protection locked="0"/>
    </xf>
    <xf numFmtId="0" fontId="1" fillId="0" borderId="0"/>
  </cellStyleXfs>
  <cellXfs count="456">
    <xf numFmtId="0" fontId="0" fillId="0" borderId="0" xfId="0"/>
    <xf numFmtId="37" fontId="6" fillId="0" borderId="0" xfId="9" applyFont="1"/>
    <xf numFmtId="37" fontId="7" fillId="0" borderId="0" xfId="9" applyFont="1"/>
    <xf numFmtId="37" fontId="4" fillId="0" borderId="0" xfId="9"/>
    <xf numFmtId="37" fontId="8" fillId="0" borderId="0" xfId="9" applyFont="1"/>
    <xf numFmtId="37" fontId="8" fillId="0" borderId="0" xfId="9" applyFont="1" applyAlignment="1">
      <alignment horizontal="left"/>
    </xf>
    <xf numFmtId="37" fontId="9" fillId="0" borderId="0" xfId="9" applyFont="1"/>
    <xf numFmtId="37" fontId="9" fillId="0" borderId="2" xfId="9" applyFont="1" applyBorder="1"/>
    <xf numFmtId="37" fontId="9" fillId="0" borderId="2" xfId="9" applyFont="1" applyBorder="1" applyAlignment="1">
      <alignment horizontal="center"/>
    </xf>
    <xf numFmtId="37" fontId="9" fillId="0" borderId="0" xfId="9" applyFont="1" applyAlignment="1">
      <alignment horizontal="left"/>
    </xf>
    <xf numFmtId="171" fontId="9" fillId="0" borderId="0" xfId="9" applyNumberFormat="1" applyFont="1"/>
    <xf numFmtId="165" fontId="4" fillId="0" borderId="0" xfId="8"/>
    <xf numFmtId="167" fontId="9" fillId="0" borderId="0" xfId="9" applyNumberFormat="1" applyFont="1"/>
    <xf numFmtId="170" fontId="9" fillId="0" borderId="0" xfId="9" applyNumberFormat="1" applyFont="1"/>
    <xf numFmtId="37" fontId="6" fillId="0" borderId="0" xfId="9" applyFont="1" applyAlignment="1">
      <alignment horizontal="center"/>
    </xf>
    <xf numFmtId="37" fontId="8" fillId="0" borderId="3" xfId="9" applyFont="1" applyBorder="1" applyAlignment="1">
      <alignment horizontal="left"/>
    </xf>
    <xf numFmtId="37" fontId="10" fillId="0" borderId="0" xfId="9" applyFont="1"/>
    <xf numFmtId="37" fontId="11" fillId="0" borderId="0" xfId="9" applyFont="1"/>
    <xf numFmtId="167" fontId="11" fillId="0" borderId="0" xfId="9" applyNumberFormat="1" applyFont="1"/>
    <xf numFmtId="165" fontId="6" fillId="0" borderId="0" xfId="8" applyFont="1"/>
    <xf numFmtId="168" fontId="10" fillId="0" borderId="0" xfId="5" applyNumberFormat="1" applyFont="1" applyBorder="1"/>
    <xf numFmtId="168" fontId="6" fillId="0" borderId="0" xfId="5" applyNumberFormat="1" applyFont="1" applyFill="1" applyBorder="1"/>
    <xf numFmtId="37" fontId="12" fillId="0" borderId="0" xfId="9" applyFont="1"/>
    <xf numFmtId="164" fontId="13" fillId="0" borderId="0" xfId="5" applyFont="1" applyBorder="1"/>
    <xf numFmtId="165" fontId="14" fillId="0" borderId="0" xfId="8" applyFont="1"/>
    <xf numFmtId="164" fontId="14" fillId="0" borderId="0" xfId="5" applyFont="1" applyFill="1" applyBorder="1"/>
    <xf numFmtId="37" fontId="15" fillId="0" borderId="0" xfId="9" applyFont="1"/>
    <xf numFmtId="37" fontId="17" fillId="0" borderId="0" xfId="9" applyFont="1"/>
    <xf numFmtId="170" fontId="17" fillId="0" borderId="0" xfId="9" applyNumberFormat="1" applyFont="1"/>
    <xf numFmtId="37" fontId="18" fillId="0" borderId="0" xfId="9" applyFont="1" applyAlignment="1">
      <alignment horizontal="right"/>
    </xf>
    <xf numFmtId="37" fontId="14" fillId="0" borderId="0" xfId="9" applyFont="1"/>
    <xf numFmtId="37" fontId="8" fillId="0" borderId="0" xfId="9" applyFont="1" applyAlignment="1">
      <alignment horizontal="center"/>
    </xf>
    <xf numFmtId="37" fontId="19" fillId="0" borderId="0" xfId="9" applyFont="1" applyAlignment="1">
      <alignment horizontal="left"/>
    </xf>
    <xf numFmtId="0" fontId="20" fillId="0" borderId="0" xfId="0" applyFont="1"/>
    <xf numFmtId="37" fontId="8" fillId="0" borderId="4" xfId="9" applyFont="1" applyBorder="1" applyAlignment="1">
      <alignment horizontal="center"/>
    </xf>
    <xf numFmtId="37" fontId="8" fillId="0" borderId="5" xfId="9" applyFont="1" applyBorder="1"/>
    <xf numFmtId="37" fontId="8" fillId="0" borderId="4" xfId="9" applyFont="1" applyBorder="1"/>
    <xf numFmtId="37" fontId="8" fillId="0" borderId="6" xfId="9" applyFont="1" applyBorder="1"/>
    <xf numFmtId="37" fontId="8" fillId="0" borderId="2" xfId="9" applyFont="1" applyBorder="1"/>
    <xf numFmtId="37" fontId="19" fillId="0" borderId="6" xfId="9" applyFont="1" applyBorder="1"/>
    <xf numFmtId="37" fontId="19" fillId="0" borderId="7" xfId="9" applyFont="1" applyBorder="1"/>
    <xf numFmtId="37" fontId="19" fillId="0" borderId="0" xfId="9" applyFont="1"/>
    <xf numFmtId="39" fontId="19" fillId="0" borderId="0" xfId="9" applyNumberFormat="1" applyFont="1"/>
    <xf numFmtId="37" fontId="19" fillId="2" borderId="0" xfId="9" applyFont="1" applyFill="1" applyAlignment="1">
      <alignment horizontal="left"/>
    </xf>
    <xf numFmtId="37" fontId="8" fillId="2" borderId="5" xfId="9" applyFont="1" applyFill="1" applyBorder="1"/>
    <xf numFmtId="37" fontId="8" fillId="2" borderId="0" xfId="9" applyFont="1" applyFill="1"/>
    <xf numFmtId="37" fontId="8" fillId="2" borderId="2" xfId="9" applyFont="1" applyFill="1" applyBorder="1"/>
    <xf numFmtId="37" fontId="19" fillId="2" borderId="6" xfId="9" applyFont="1" applyFill="1" applyBorder="1"/>
    <xf numFmtId="37" fontId="19" fillId="2" borderId="0" xfId="9" applyFont="1" applyFill="1"/>
    <xf numFmtId="37" fontId="19" fillId="0" borderId="3" xfId="9" applyFont="1" applyBorder="1"/>
    <xf numFmtId="37" fontId="8" fillId="0" borderId="8" xfId="9" applyFont="1" applyBorder="1" applyAlignment="1">
      <alignment horizontal="left"/>
    </xf>
    <xf numFmtId="37" fontId="8" fillId="0" borderId="9" xfId="9" applyFont="1" applyBorder="1" applyAlignment="1">
      <alignment horizontal="left"/>
    </xf>
    <xf numFmtId="170" fontId="19" fillId="0" borderId="0" xfId="9" applyNumberFormat="1" applyFont="1"/>
    <xf numFmtId="37" fontId="8" fillId="0" borderId="8" xfId="9" applyFont="1" applyBorder="1"/>
    <xf numFmtId="37" fontId="8" fillId="0" borderId="9" xfId="9" applyFont="1" applyBorder="1"/>
    <xf numFmtId="37" fontId="8" fillId="0" borderId="7" xfId="9" applyFont="1" applyBorder="1"/>
    <xf numFmtId="37" fontId="19" fillId="0" borderId="2" xfId="9" applyFont="1" applyBorder="1"/>
    <xf numFmtId="167" fontId="9" fillId="0" borderId="2" xfId="9" applyNumberFormat="1" applyFont="1" applyBorder="1"/>
    <xf numFmtId="0" fontId="0" fillId="2" borderId="0" xfId="0" applyFill="1"/>
    <xf numFmtId="0" fontId="0" fillId="3" borderId="2" xfId="0" applyFill="1" applyBorder="1"/>
    <xf numFmtId="0" fontId="0" fillId="3" borderId="0" xfId="0" applyFill="1"/>
    <xf numFmtId="0" fontId="0" fillId="3" borderId="9" xfId="0" applyFill="1" applyBorder="1"/>
    <xf numFmtId="0" fontId="0" fillId="3" borderId="6" xfId="0" applyFill="1" applyBorder="1"/>
    <xf numFmtId="0" fontId="0" fillId="3" borderId="3" xfId="0" applyFill="1" applyBorder="1"/>
    <xf numFmtId="0" fontId="0" fillId="3" borderId="7" xfId="0" applyFill="1" applyBorder="1"/>
    <xf numFmtId="0" fontId="22" fillId="3" borderId="0" xfId="0" applyFont="1" applyFill="1"/>
    <xf numFmtId="0" fontId="20" fillId="3" borderId="10" xfId="0" applyFont="1" applyFill="1" applyBorder="1"/>
    <xf numFmtId="0" fontId="0" fillId="3" borderId="0" xfId="0" applyFill="1" applyAlignment="1">
      <alignment horizontal="center"/>
    </xf>
    <xf numFmtId="0" fontId="23" fillId="2" borderId="0" xfId="0" applyFont="1" applyFill="1"/>
    <xf numFmtId="0" fontId="20" fillId="4" borderId="10" xfId="0" applyFont="1" applyFill="1" applyBorder="1"/>
    <xf numFmtId="0" fontId="24" fillId="0" borderId="0" xfId="0" applyFont="1" applyAlignment="1">
      <alignment horizontal="right"/>
    </xf>
    <xf numFmtId="0" fontId="21" fillId="2" borderId="0" xfId="0" applyFont="1" applyFill="1"/>
    <xf numFmtId="0" fontId="25" fillId="2" borderId="0" xfId="0" applyFont="1" applyFill="1"/>
    <xf numFmtId="0" fontId="0" fillId="3" borderId="10" xfId="0" applyFill="1" applyBorder="1"/>
    <xf numFmtId="37" fontId="27" fillId="2" borderId="11" xfId="9" applyFont="1" applyFill="1" applyBorder="1" applyAlignment="1">
      <alignment horizontal="center"/>
    </xf>
    <xf numFmtId="37" fontId="27" fillId="2" borderId="12" xfId="9" applyFont="1" applyFill="1" applyBorder="1" applyAlignment="1">
      <alignment horizontal="center"/>
    </xf>
    <xf numFmtId="167" fontId="27" fillId="0" borderId="13" xfId="9" applyNumberFormat="1" applyFont="1" applyBorder="1" applyAlignment="1">
      <alignment horizontal="center"/>
    </xf>
    <xf numFmtId="37" fontId="28" fillId="0" borderId="0" xfId="9" applyFont="1" applyAlignment="1">
      <alignment horizontal="center"/>
    </xf>
    <xf numFmtId="37" fontId="28" fillId="0" borderId="4" xfId="9" applyFont="1" applyBorder="1"/>
    <xf numFmtId="37" fontId="28" fillId="0" borderId="0" xfId="9" applyFont="1"/>
    <xf numFmtId="39" fontId="27" fillId="0" borderId="0" xfId="9" applyNumberFormat="1" applyFont="1"/>
    <xf numFmtId="0" fontId="29" fillId="0" borderId="0" xfId="0" applyFont="1"/>
    <xf numFmtId="37" fontId="30" fillId="0" borderId="0" xfId="9" applyFont="1"/>
    <xf numFmtId="37" fontId="31" fillId="0" borderId="0" xfId="9" applyFont="1"/>
    <xf numFmtId="37" fontId="27" fillId="0" borderId="11" xfId="9" applyFont="1" applyBorder="1" applyAlignment="1">
      <alignment horizontal="center"/>
    </xf>
    <xf numFmtId="37" fontId="27" fillId="0" borderId="12" xfId="9" applyFont="1" applyBorder="1" applyAlignment="1">
      <alignment horizontal="center"/>
    </xf>
    <xf numFmtId="0" fontId="32" fillId="0" borderId="0" xfId="7"/>
    <xf numFmtId="37" fontId="34" fillId="0" borderId="0" xfId="9" applyFont="1"/>
    <xf numFmtId="0" fontId="20" fillId="4" borderId="0" xfId="0" applyFont="1" applyFill="1"/>
    <xf numFmtId="0" fontId="39" fillId="0" borderId="0" xfId="0" applyFont="1"/>
    <xf numFmtId="0" fontId="39" fillId="0" borderId="0" xfId="0" applyFont="1" applyAlignment="1">
      <alignment horizontal="left"/>
    </xf>
    <xf numFmtId="0" fontId="0" fillId="0" borderId="0" xfId="0" applyAlignment="1">
      <alignment horizontal="left"/>
    </xf>
    <xf numFmtId="37" fontId="34" fillId="0" borderId="6" xfId="9" applyFont="1" applyBorder="1"/>
    <xf numFmtId="0" fontId="8" fillId="0" borderId="0" xfId="0" applyFont="1"/>
    <xf numFmtId="0" fontId="20" fillId="2" borderId="0" xfId="0" applyFont="1" applyFill="1"/>
    <xf numFmtId="0" fontId="0" fillId="4" borderId="5" xfId="0" applyFill="1" applyBorder="1"/>
    <xf numFmtId="0" fontId="0" fillId="4" borderId="4" xfId="0" applyFill="1" applyBorder="1"/>
    <xf numFmtId="0" fontId="22" fillId="4" borderId="4" xfId="0" applyFont="1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0" xfId="0" applyFill="1"/>
    <xf numFmtId="0" fontId="0" fillId="4" borderId="9" xfId="0" applyFill="1" applyBorder="1"/>
    <xf numFmtId="0" fontId="22" fillId="4" borderId="0" xfId="0" applyFont="1" applyFill="1"/>
    <xf numFmtId="0" fontId="0" fillId="4" borderId="6" xfId="0" applyFill="1" applyBorder="1"/>
    <xf numFmtId="0" fontId="0" fillId="4" borderId="3" xfId="0" applyFill="1" applyBorder="1"/>
    <xf numFmtId="0" fontId="0" fillId="4" borderId="7" xfId="0" applyFill="1" applyBorder="1"/>
    <xf numFmtId="0" fontId="0" fillId="0" borderId="0" xfId="0" applyAlignment="1">
      <alignment horizontal="right"/>
    </xf>
    <xf numFmtId="0" fontId="4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2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5" fillId="2" borderId="0" xfId="0" applyFont="1" applyFill="1" applyAlignment="1">
      <alignment horizontal="left"/>
    </xf>
    <xf numFmtId="0" fontId="41" fillId="0" borderId="0" xfId="0" applyFont="1" applyAlignment="1">
      <alignment horizontal="right"/>
    </xf>
    <xf numFmtId="0" fontId="25" fillId="0" borderId="0" xfId="0" applyFont="1"/>
    <xf numFmtId="0" fontId="2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1" fillId="2" borderId="0" xfId="0" applyFont="1" applyFill="1" applyAlignment="1">
      <alignment wrapText="1"/>
    </xf>
    <xf numFmtId="167" fontId="20" fillId="0" borderId="0" xfId="0" applyNumberFormat="1" applyFont="1"/>
    <xf numFmtId="0" fontId="0" fillId="4" borderId="14" xfId="0" applyFill="1" applyBorder="1"/>
    <xf numFmtId="0" fontId="20" fillId="4" borderId="14" xfId="0" applyFont="1" applyFill="1" applyBorder="1"/>
    <xf numFmtId="37" fontId="34" fillId="0" borderId="15" xfId="9" applyFont="1" applyBorder="1"/>
    <xf numFmtId="37" fontId="34" fillId="0" borderId="16" xfId="9" applyFont="1" applyBorder="1"/>
    <xf numFmtId="37" fontId="19" fillId="0" borderId="3" xfId="9" applyFont="1" applyBorder="1" applyAlignment="1">
      <alignment horizontal="left"/>
    </xf>
    <xf numFmtId="172" fontId="26" fillId="0" borderId="0" xfId="0" applyNumberFormat="1" applyFont="1"/>
    <xf numFmtId="37" fontId="43" fillId="2" borderId="0" xfId="9" applyFont="1" applyFill="1"/>
    <xf numFmtId="37" fontId="43" fillId="0" borderId="0" xfId="9" applyFont="1"/>
    <xf numFmtId="0" fontId="44" fillId="0" borderId="0" xfId="0" applyFont="1" applyAlignment="1">
      <alignment horizontal="right"/>
    </xf>
    <xf numFmtId="37" fontId="45" fillId="0" borderId="0" xfId="9" applyFont="1"/>
    <xf numFmtId="0" fontId="46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47" fillId="2" borderId="0" xfId="0" applyFont="1" applyFill="1"/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right"/>
    </xf>
    <xf numFmtId="0" fontId="22" fillId="2" borderId="0" xfId="0" applyFont="1" applyFill="1"/>
    <xf numFmtId="0" fontId="41" fillId="2" borderId="0" xfId="0" applyFont="1" applyFill="1" applyAlignment="1">
      <alignment horizontal="right"/>
    </xf>
    <xf numFmtId="0" fontId="48" fillId="2" borderId="0" xfId="0" applyFont="1" applyFill="1"/>
    <xf numFmtId="0" fontId="49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2" fillId="2" borderId="0" xfId="0" applyFont="1" applyFill="1" applyAlignment="1">
      <alignment horizontal="left"/>
    </xf>
    <xf numFmtId="0" fontId="48" fillId="2" borderId="0" xfId="0" applyFont="1" applyFill="1" applyAlignment="1">
      <alignment horizontal="left"/>
    </xf>
    <xf numFmtId="37" fontId="8" fillId="0" borderId="4" xfId="9" applyFont="1" applyBorder="1" applyAlignment="1">
      <alignment horizontal="right"/>
    </xf>
    <xf numFmtId="37" fontId="28" fillId="0" borderId="0" xfId="9" applyFont="1" applyAlignment="1">
      <alignment horizontal="right"/>
    </xf>
    <xf numFmtId="0" fontId="50" fillId="0" borderId="0" xfId="7" applyFont="1"/>
    <xf numFmtId="37" fontId="16" fillId="0" borderId="0" xfId="9" applyFont="1"/>
    <xf numFmtId="37" fontId="8" fillId="0" borderId="0" xfId="9" applyFont="1" applyAlignment="1">
      <alignment horizontal="right"/>
    </xf>
    <xf numFmtId="0" fontId="0" fillId="2" borderId="0" xfId="0" applyFill="1" applyAlignment="1">
      <alignment horizontal="center"/>
    </xf>
    <xf numFmtId="173" fontId="8" fillId="0" borderId="0" xfId="9" applyNumberFormat="1" applyFont="1" applyAlignment="1">
      <alignment horizontal="center"/>
    </xf>
    <xf numFmtId="167" fontId="27" fillId="0" borderId="11" xfId="9" applyNumberFormat="1" applyFont="1" applyBorder="1" applyAlignment="1">
      <alignment horizontal="center"/>
    </xf>
    <xf numFmtId="0" fontId="29" fillId="4" borderId="4" xfId="0" applyFont="1" applyFill="1" applyBorder="1"/>
    <xf numFmtId="176" fontId="8" fillId="0" borderId="17" xfId="9" applyNumberFormat="1" applyFont="1" applyBorder="1" applyAlignment="1">
      <alignment horizontal="right"/>
    </xf>
    <xf numFmtId="176" fontId="8" fillId="0" borderId="18" xfId="9" applyNumberFormat="1" applyFont="1" applyBorder="1" applyAlignment="1">
      <alignment horizontal="right"/>
    </xf>
    <xf numFmtId="0" fontId="59" fillId="0" borderId="0" xfId="10" applyFont="1" applyAlignment="1">
      <alignment horizontal="center"/>
    </xf>
    <xf numFmtId="0" fontId="0" fillId="3" borderId="0" xfId="0" applyFill="1" applyAlignment="1">
      <alignment horizontal="right"/>
    </xf>
    <xf numFmtId="0" fontId="25" fillId="0" borderId="0" xfId="0" applyFont="1" applyAlignment="1">
      <alignment horizontal="left"/>
    </xf>
    <xf numFmtId="0" fontId="33" fillId="5" borderId="19" xfId="0" applyFont="1" applyFill="1" applyBorder="1" applyAlignment="1">
      <alignment horizontal="left"/>
    </xf>
    <xf numFmtId="0" fontId="33" fillId="5" borderId="16" xfId="0" applyFont="1" applyFill="1" applyBorder="1" applyAlignment="1">
      <alignment horizontal="left"/>
    </xf>
    <xf numFmtId="2" fontId="0" fillId="3" borderId="0" xfId="0" applyNumberFormat="1" applyFill="1" applyAlignment="1">
      <alignment horizontal="right"/>
    </xf>
    <xf numFmtId="0" fontId="0" fillId="0" borderId="0" xfId="0" applyAlignment="1">
      <alignment wrapText="1"/>
    </xf>
    <xf numFmtId="0" fontId="33" fillId="0" borderId="0" xfId="0" applyFont="1" applyAlignment="1">
      <alignment wrapText="1"/>
    </xf>
    <xf numFmtId="169" fontId="20" fillId="5" borderId="18" xfId="5" applyNumberFormat="1" applyFont="1" applyFill="1" applyBorder="1" applyProtection="1"/>
    <xf numFmtId="0" fontId="61" fillId="2" borderId="0" xfId="0" applyFont="1" applyFill="1"/>
    <xf numFmtId="0" fontId="62" fillId="0" borderId="0" xfId="7" applyFont="1"/>
    <xf numFmtId="175" fontId="19" fillId="0" borderId="5" xfId="9" applyNumberFormat="1" applyFont="1" applyBorder="1" applyAlignment="1">
      <alignment horizontal="center"/>
    </xf>
    <xf numFmtId="175" fontId="19" fillId="0" borderId="18" xfId="9" applyNumberFormat="1" applyFont="1" applyBorder="1" applyAlignment="1">
      <alignment horizontal="center"/>
    </xf>
    <xf numFmtId="176" fontId="8" fillId="0" borderId="17" xfId="5" applyNumberFormat="1" applyFont="1" applyFill="1" applyBorder="1" applyAlignment="1" applyProtection="1">
      <alignment horizontal="right"/>
    </xf>
    <xf numFmtId="176" fontId="8" fillId="0" borderId="18" xfId="5" applyNumberFormat="1" applyFont="1" applyFill="1" applyBorder="1" applyProtection="1"/>
    <xf numFmtId="176" fontId="8" fillId="0" borderId="5" xfId="5" applyNumberFormat="1" applyFont="1" applyFill="1" applyBorder="1" applyProtection="1"/>
    <xf numFmtId="176" fontId="8" fillId="0" borderId="17" xfId="5" applyNumberFormat="1" applyFont="1" applyFill="1" applyBorder="1" applyProtection="1"/>
    <xf numFmtId="172" fontId="8" fillId="0" borderId="5" xfId="5" applyNumberFormat="1" applyFont="1" applyFill="1" applyBorder="1" applyProtection="1"/>
    <xf numFmtId="172" fontId="8" fillId="0" borderId="17" xfId="5" applyNumberFormat="1" applyFont="1" applyFill="1" applyBorder="1" applyProtection="1"/>
    <xf numFmtId="172" fontId="27" fillId="0" borderId="18" xfId="5" applyNumberFormat="1" applyFont="1" applyFill="1" applyBorder="1" applyProtection="1"/>
    <xf numFmtId="1" fontId="8" fillId="0" borderId="5" xfId="5" applyNumberFormat="1" applyFont="1" applyFill="1" applyBorder="1" applyProtection="1"/>
    <xf numFmtId="1" fontId="8" fillId="0" borderId="17" xfId="5" applyNumberFormat="1" applyFont="1" applyFill="1" applyBorder="1" applyProtection="1"/>
    <xf numFmtId="175" fontId="34" fillId="2" borderId="5" xfId="5" applyNumberFormat="1" applyFont="1" applyFill="1" applyBorder="1" applyProtection="1"/>
    <xf numFmtId="175" fontId="34" fillId="2" borderId="18" xfId="5" applyNumberFormat="1" applyFont="1" applyFill="1" applyBorder="1" applyProtection="1"/>
    <xf numFmtId="1" fontId="19" fillId="0" borderId="15" xfId="5" applyNumberFormat="1" applyFont="1" applyFill="1" applyBorder="1" applyProtection="1"/>
    <xf numFmtId="1" fontId="27" fillId="0" borderId="18" xfId="5" applyNumberFormat="1" applyFont="1" applyFill="1" applyBorder="1" applyProtection="1"/>
    <xf numFmtId="172" fontId="19" fillId="0" borderId="18" xfId="9" applyNumberFormat="1" applyFont="1" applyBorder="1"/>
    <xf numFmtId="3" fontId="0" fillId="2" borderId="18" xfId="5" applyNumberFormat="1" applyFont="1" applyFill="1" applyBorder="1" applyAlignment="1" applyProtection="1">
      <alignment horizontal="right"/>
      <protection locked="0"/>
    </xf>
    <xf numFmtId="3" fontId="0" fillId="3" borderId="0" xfId="0" applyNumberFormat="1" applyFill="1"/>
    <xf numFmtId="3" fontId="0" fillId="2" borderId="18" xfId="5" applyNumberFormat="1" applyFont="1" applyFill="1" applyBorder="1" applyProtection="1">
      <protection locked="0"/>
    </xf>
    <xf numFmtId="178" fontId="0" fillId="2" borderId="18" xfId="5" applyNumberFormat="1" applyFont="1" applyFill="1" applyBorder="1" applyProtection="1">
      <protection locked="0"/>
    </xf>
    <xf numFmtId="175" fontId="22" fillId="2" borderId="18" xfId="0" applyNumberFormat="1" applyFont="1" applyFill="1" applyBorder="1" applyAlignment="1">
      <alignment horizontal="center"/>
    </xf>
    <xf numFmtId="3" fontId="0" fillId="2" borderId="18" xfId="0" applyNumberFormat="1" applyFill="1" applyBorder="1" applyAlignment="1" applyProtection="1">
      <alignment horizontal="right"/>
      <protection locked="0"/>
    </xf>
    <xf numFmtId="3" fontId="0" fillId="4" borderId="0" xfId="0" applyNumberFormat="1" applyFill="1"/>
    <xf numFmtId="178" fontId="0" fillId="2" borderId="18" xfId="0" applyNumberFormat="1" applyFill="1" applyBorder="1" applyProtection="1">
      <protection locked="0"/>
    </xf>
    <xf numFmtId="175" fontId="19" fillId="0" borderId="15" xfId="9" applyNumberFormat="1" applyFont="1" applyBorder="1" applyAlignment="1">
      <alignment horizontal="center"/>
    </xf>
    <xf numFmtId="175" fontId="27" fillId="0" borderId="11" xfId="9" applyNumberFormat="1" applyFont="1" applyBorder="1" applyAlignment="1">
      <alignment horizontal="center"/>
    </xf>
    <xf numFmtId="176" fontId="8" fillId="0" borderId="5" xfId="9" applyNumberFormat="1" applyFont="1" applyBorder="1"/>
    <xf numFmtId="176" fontId="8" fillId="0" borderId="18" xfId="9" applyNumberFormat="1" applyFont="1" applyBorder="1"/>
    <xf numFmtId="176" fontId="8" fillId="0" borderId="4" xfId="9" applyNumberFormat="1" applyFont="1" applyBorder="1"/>
    <xf numFmtId="176" fontId="8" fillId="0" borderId="17" xfId="9" applyNumberFormat="1" applyFont="1" applyBorder="1"/>
    <xf numFmtId="178" fontId="8" fillId="0" borderId="5" xfId="9" applyNumberFormat="1" applyFont="1" applyBorder="1"/>
    <xf numFmtId="1" fontId="8" fillId="0" borderId="18" xfId="5" applyNumberFormat="1" applyFont="1" applyFill="1" applyBorder="1" applyProtection="1"/>
    <xf numFmtId="1" fontId="19" fillId="0" borderId="5" xfId="9" applyNumberFormat="1" applyFont="1" applyBorder="1"/>
    <xf numFmtId="3" fontId="8" fillId="0" borderId="5" xfId="9" applyNumberFormat="1" applyFont="1" applyBorder="1"/>
    <xf numFmtId="3" fontId="8" fillId="0" borderId="17" xfId="9" applyNumberFormat="1" applyFont="1" applyBorder="1"/>
    <xf numFmtId="3" fontId="19" fillId="0" borderId="5" xfId="9" applyNumberFormat="1" applyFont="1" applyBorder="1"/>
    <xf numFmtId="3" fontId="34" fillId="0" borderId="5" xfId="9" applyNumberFormat="1" applyFont="1" applyBorder="1"/>
    <xf numFmtId="3" fontId="34" fillId="0" borderId="18" xfId="9" applyNumberFormat="1" applyFont="1" applyBorder="1"/>
    <xf numFmtId="1" fontId="34" fillId="0" borderId="18" xfId="9" applyNumberFormat="1" applyFont="1" applyBorder="1"/>
    <xf numFmtId="172" fontId="8" fillId="0" borderId="18" xfId="5" applyNumberFormat="1" applyFont="1" applyFill="1" applyBorder="1" applyProtection="1"/>
    <xf numFmtId="175" fontId="19" fillId="2" borderId="5" xfId="5" applyNumberFormat="1" applyFont="1" applyFill="1" applyBorder="1" applyProtection="1"/>
    <xf numFmtId="175" fontId="27" fillId="2" borderId="17" xfId="5" applyNumberFormat="1" applyFont="1" applyFill="1" applyBorder="1" applyProtection="1"/>
    <xf numFmtId="0" fontId="20" fillId="0" borderId="0" xfId="10" applyFont="1" applyAlignment="1">
      <alignment horizontal="center"/>
    </xf>
    <xf numFmtId="0" fontId="20" fillId="0" borderId="0" xfId="10" applyFont="1" applyAlignment="1">
      <alignment horizontal="left"/>
    </xf>
    <xf numFmtId="0" fontId="51" fillId="0" borderId="0" xfId="10" applyFont="1" applyAlignment="1">
      <alignment horizontal="left"/>
    </xf>
    <xf numFmtId="0" fontId="51" fillId="0" borderId="0" xfId="0" applyFont="1"/>
    <xf numFmtId="0" fontId="0" fillId="6" borderId="0" xfId="0" applyFill="1"/>
    <xf numFmtId="0" fontId="59" fillId="6" borderId="0" xfId="10" applyFont="1" applyFill="1" applyAlignment="1">
      <alignment horizontal="center"/>
    </xf>
    <xf numFmtId="0" fontId="22" fillId="6" borderId="0" xfId="0" applyFont="1" applyFill="1"/>
    <xf numFmtId="0" fontId="64" fillId="6" borderId="0" xfId="0" applyFont="1" applyFill="1"/>
    <xf numFmtId="0" fontId="20" fillId="6" borderId="0" xfId="0" applyFont="1" applyFill="1"/>
    <xf numFmtId="0" fontId="63" fillId="6" borderId="0" xfId="0" applyFont="1" applyFill="1"/>
    <xf numFmtId="0" fontId="22" fillId="6" borderId="0" xfId="10" applyFont="1" applyFill="1" applyAlignment="1">
      <alignment horizontal="center"/>
    </xf>
    <xf numFmtId="0" fontId="20" fillId="6" borderId="0" xfId="10" applyFont="1" applyFill="1" applyAlignment="1">
      <alignment horizontal="center"/>
    </xf>
    <xf numFmtId="0" fontId="29" fillId="6" borderId="4" xfId="10" applyFont="1" applyFill="1" applyBorder="1" applyAlignment="1">
      <alignment horizontal="center"/>
    </xf>
    <xf numFmtId="0" fontId="25" fillId="6" borderId="0" xfId="10" applyFont="1" applyFill="1" applyAlignment="1">
      <alignment horizontal="center"/>
    </xf>
    <xf numFmtId="0" fontId="20" fillId="3" borderId="2" xfId="0" applyFont="1" applyFill="1" applyBorder="1" applyAlignment="1">
      <alignment horizontal="right"/>
    </xf>
    <xf numFmtId="0" fontId="25" fillId="0" borderId="0" xfId="10" applyFont="1" applyAlignment="1">
      <alignment horizontal="center"/>
    </xf>
    <xf numFmtId="0" fontId="29" fillId="6" borderId="5" xfId="10" applyFont="1" applyFill="1" applyBorder="1" applyAlignment="1">
      <alignment horizontal="center"/>
    </xf>
    <xf numFmtId="0" fontId="26" fillId="6" borderId="17" xfId="10" applyFont="1" applyFill="1" applyBorder="1" applyAlignment="1">
      <alignment horizontal="center"/>
    </xf>
    <xf numFmtId="0" fontId="22" fillId="0" borderId="0" xfId="0" applyFont="1"/>
    <xf numFmtId="0" fontId="22" fillId="0" borderId="0" xfId="10" applyFont="1" applyAlignment="1">
      <alignment horizontal="center"/>
    </xf>
    <xf numFmtId="0" fontId="29" fillId="2" borderId="0" xfId="0" applyFont="1" applyFill="1"/>
    <xf numFmtId="0" fontId="65" fillId="0" borderId="0" xfId="0" applyFont="1"/>
    <xf numFmtId="0" fontId="8" fillId="0" borderId="2" xfId="9" applyNumberFormat="1" applyFont="1" applyBorder="1"/>
    <xf numFmtId="37" fontId="20" fillId="0" borderId="0" xfId="9" applyFont="1"/>
    <xf numFmtId="37" fontId="25" fillId="0" borderId="0" xfId="9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right"/>
    </xf>
    <xf numFmtId="0" fontId="65" fillId="0" borderId="0" xfId="0" applyFont="1" applyAlignment="1">
      <alignment horizontal="center"/>
    </xf>
    <xf numFmtId="0" fontId="20" fillId="3" borderId="0" xfId="0" applyFont="1" applyFill="1"/>
    <xf numFmtId="37" fontId="8" fillId="0" borderId="0" xfId="9" quotePrefix="1" applyFont="1"/>
    <xf numFmtId="0" fontId="68" fillId="0" borderId="0" xfId="10" applyFont="1" applyAlignment="1">
      <alignment horizontal="center"/>
    </xf>
    <xf numFmtId="0" fontId="69" fillId="0" borderId="0" xfId="0" applyFont="1" applyAlignment="1">
      <alignment horizontal="left"/>
    </xf>
    <xf numFmtId="0" fontId="68" fillId="0" borderId="5" xfId="10" applyFont="1" applyBorder="1" applyAlignment="1">
      <alignment horizontal="center"/>
    </xf>
    <xf numFmtId="0" fontId="65" fillId="0" borderId="4" xfId="0" applyFont="1" applyBorder="1" applyAlignment="1">
      <alignment horizontal="left"/>
    </xf>
    <xf numFmtId="0" fontId="68" fillId="0" borderId="8" xfId="10" applyFont="1" applyBorder="1" applyAlignment="1">
      <alignment horizontal="center"/>
    </xf>
    <xf numFmtId="0" fontId="68" fillId="0" borderId="6" xfId="10" applyFont="1" applyBorder="1" applyAlignment="1">
      <alignment horizontal="center"/>
    </xf>
    <xf numFmtId="0" fontId="65" fillId="0" borderId="3" xfId="0" applyFont="1" applyBorder="1" applyAlignment="1">
      <alignment horizontal="left"/>
    </xf>
    <xf numFmtId="0" fontId="68" fillId="0" borderId="7" xfId="10" applyFont="1" applyBorder="1" applyAlignment="1">
      <alignment horizontal="center"/>
    </xf>
    <xf numFmtId="0" fontId="69" fillId="0" borderId="0" xfId="0" applyFont="1"/>
    <xf numFmtId="0" fontId="70" fillId="0" borderId="5" xfId="0" applyFont="1" applyBorder="1" applyAlignment="1">
      <alignment horizontal="center"/>
    </xf>
    <xf numFmtId="168" fontId="70" fillId="0" borderId="4" xfId="5" applyNumberFormat="1" applyFont="1" applyFill="1" applyBorder="1"/>
    <xf numFmtId="168" fontId="70" fillId="0" borderId="8" xfId="5" applyNumberFormat="1" applyFont="1" applyFill="1" applyBorder="1"/>
    <xf numFmtId="0" fontId="70" fillId="0" borderId="2" xfId="0" applyFont="1" applyBorder="1" applyAlignment="1">
      <alignment horizontal="center"/>
    </xf>
    <xf numFmtId="168" fontId="70" fillId="0" borderId="0" xfId="5" applyNumberFormat="1" applyFont="1" applyFill="1" applyBorder="1"/>
    <xf numFmtId="168" fontId="70" fillId="0" borderId="9" xfId="5" applyNumberFormat="1" applyFont="1" applyFill="1" applyBorder="1"/>
    <xf numFmtId="0" fontId="70" fillId="0" borderId="6" xfId="0" applyFont="1" applyBorder="1" applyAlignment="1">
      <alignment horizontal="center"/>
    </xf>
    <xf numFmtId="168" fontId="70" fillId="0" borderId="3" xfId="5" applyNumberFormat="1" applyFont="1" applyFill="1" applyBorder="1"/>
    <xf numFmtId="168" fontId="70" fillId="0" borderId="7" xfId="5" applyNumberFormat="1" applyFont="1" applyFill="1" applyBorder="1"/>
    <xf numFmtId="0" fontId="20" fillId="3" borderId="0" xfId="0" applyFont="1" applyFill="1" applyAlignment="1">
      <alignment horizontal="right"/>
    </xf>
    <xf numFmtId="0" fontId="65" fillId="0" borderId="4" xfId="0" applyFont="1" applyBorder="1"/>
    <xf numFmtId="0" fontId="22" fillId="0" borderId="17" xfId="0" applyFont="1" applyBorder="1" applyAlignment="1" applyProtection="1">
      <alignment horizontal="center"/>
      <protection locked="0"/>
    </xf>
    <xf numFmtId="0" fontId="20" fillId="0" borderId="20" xfId="10" applyFont="1" applyBorder="1" applyAlignment="1" applyProtection="1">
      <alignment horizontal="center"/>
      <protection locked="0"/>
    </xf>
    <xf numFmtId="0" fontId="20" fillId="0" borderId="21" xfId="10" applyFont="1" applyBorder="1" applyAlignment="1" applyProtection="1">
      <alignment horizontal="center"/>
      <protection locked="0"/>
    </xf>
    <xf numFmtId="0" fontId="20" fillId="0" borderId="17" xfId="10" applyFont="1" applyBorder="1" applyAlignment="1" applyProtection="1">
      <alignment horizontal="center"/>
      <protection locked="0"/>
    </xf>
    <xf numFmtId="0" fontId="29" fillId="4" borderId="0" xfId="0" applyFont="1" applyFill="1"/>
    <xf numFmtId="177" fontId="8" fillId="0" borderId="5" xfId="5" applyNumberFormat="1" applyFont="1" applyFill="1" applyBorder="1" applyProtection="1"/>
    <xf numFmtId="172" fontId="27" fillId="2" borderId="11" xfId="5" applyNumberFormat="1" applyFont="1" applyFill="1" applyBorder="1" applyAlignment="1" applyProtection="1">
      <alignment horizontal="center"/>
    </xf>
    <xf numFmtId="174" fontId="27" fillId="0" borderId="11" xfId="9" applyNumberFormat="1" applyFont="1" applyBorder="1" applyAlignment="1">
      <alignment horizontal="center"/>
    </xf>
    <xf numFmtId="174" fontId="27" fillId="2" borderId="11" xfId="9" applyNumberFormat="1" applyFont="1" applyFill="1" applyBorder="1" applyAlignment="1">
      <alignment horizontal="center"/>
    </xf>
    <xf numFmtId="176" fontId="8" fillId="0" borderId="5" xfId="9" applyNumberFormat="1" applyFont="1" applyBorder="1" applyAlignment="1">
      <alignment horizontal="right"/>
    </xf>
    <xf numFmtId="176" fontId="8" fillId="0" borderId="15" xfId="9" applyNumberFormat="1" applyFont="1" applyBorder="1" applyAlignment="1">
      <alignment horizontal="right"/>
    </xf>
    <xf numFmtId="37" fontId="9" fillId="0" borderId="0" xfId="9" applyFont="1" applyAlignment="1">
      <alignment horizontal="center"/>
    </xf>
    <xf numFmtId="172" fontId="27" fillId="0" borderId="18" xfId="9" applyNumberFormat="1" applyFont="1" applyBorder="1"/>
    <xf numFmtId="0" fontId="67" fillId="3" borderId="0" xfId="0" applyFont="1" applyFill="1"/>
    <xf numFmtId="0" fontId="67" fillId="2" borderId="0" xfId="0" applyFont="1" applyFill="1"/>
    <xf numFmtId="3" fontId="27" fillId="0" borderId="17" xfId="9" applyNumberFormat="1" applyFont="1" applyBorder="1"/>
    <xf numFmtId="0" fontId="71" fillId="0" borderId="0" xfId="7" applyFont="1"/>
    <xf numFmtId="0" fontId="35" fillId="3" borderId="5" xfId="0" applyFont="1" applyFill="1" applyBorder="1"/>
    <xf numFmtId="0" fontId="35" fillId="3" borderId="4" xfId="0" applyFont="1" applyFill="1" applyBorder="1"/>
    <xf numFmtId="0" fontId="35" fillId="3" borderId="8" xfId="0" applyFont="1" applyFill="1" applyBorder="1"/>
    <xf numFmtId="0" fontId="35" fillId="2" borderId="0" xfId="0" applyFont="1" applyFill="1"/>
    <xf numFmtId="0" fontId="19" fillId="0" borderId="0" xfId="9" applyNumberFormat="1" applyFont="1" applyAlignment="1">
      <alignment horizontal="center"/>
    </xf>
    <xf numFmtId="0" fontId="60" fillId="0" borderId="0" xfId="6" applyFill="1" applyBorder="1" applyAlignment="1" applyProtection="1">
      <alignment horizontal="center"/>
    </xf>
    <xf numFmtId="0" fontId="73" fillId="6" borderId="0" xfId="6" applyFont="1" applyFill="1" applyAlignment="1" applyProtection="1">
      <alignment horizontal="center"/>
    </xf>
    <xf numFmtId="37" fontId="19" fillId="0" borderId="0" xfId="9" applyFont="1" applyAlignment="1">
      <alignment horizontal="center"/>
    </xf>
    <xf numFmtId="37" fontId="4" fillId="0" borderId="2" xfId="9" applyBorder="1"/>
    <xf numFmtId="0" fontId="75" fillId="3" borderId="0" xfId="0" applyFont="1" applyFill="1"/>
    <xf numFmtId="0" fontId="75" fillId="2" borderId="0" xfId="0" applyFont="1" applyFill="1"/>
    <xf numFmtId="0" fontId="35" fillId="3" borderId="0" xfId="0" applyFont="1" applyFill="1"/>
    <xf numFmtId="0" fontId="37" fillId="3" borderId="0" xfId="0" applyFont="1" applyFill="1"/>
    <xf numFmtId="0" fontId="37" fillId="2" borderId="0" xfId="0" applyFont="1" applyFill="1"/>
    <xf numFmtId="0" fontId="1" fillId="3" borderId="0" xfId="0" applyFont="1" applyFill="1"/>
    <xf numFmtId="0" fontId="29" fillId="6" borderId="8" xfId="10" applyFont="1" applyFill="1" applyBorder="1" applyAlignment="1">
      <alignment horizontal="center"/>
    </xf>
    <xf numFmtId="0" fontId="26" fillId="6" borderId="8" xfId="10" applyFont="1" applyFill="1" applyBorder="1" applyAlignment="1">
      <alignment horizontal="center"/>
    </xf>
    <xf numFmtId="172" fontId="19" fillId="0" borderId="18" xfId="5" applyNumberFormat="1" applyFont="1" applyFill="1" applyBorder="1" applyProtection="1"/>
    <xf numFmtId="0" fontId="20" fillId="3" borderId="0" xfId="0" applyFont="1" applyFill="1" applyAlignment="1">
      <alignment horizontal="left"/>
    </xf>
    <xf numFmtId="0" fontId="68" fillId="0" borderId="2" xfId="10" applyFont="1" applyBorder="1" applyAlignment="1">
      <alignment horizontal="center"/>
    </xf>
    <xf numFmtId="172" fontId="68" fillId="0" borderId="4" xfId="10" applyNumberFormat="1" applyFont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65" fillId="0" borderId="3" xfId="0" applyFont="1" applyBorder="1"/>
    <xf numFmtId="169" fontId="32" fillId="0" borderId="0" xfId="5" applyNumberFormat="1" applyFont="1"/>
    <xf numFmtId="0" fontId="77" fillId="3" borderId="0" xfId="0" applyFont="1" applyFill="1"/>
    <xf numFmtId="0" fontId="77" fillId="2" borderId="0" xfId="0" applyFont="1" applyFill="1"/>
    <xf numFmtId="0" fontId="79" fillId="3" borderId="0" xfId="0" applyFont="1" applyFill="1"/>
    <xf numFmtId="0" fontId="79" fillId="3" borderId="0" xfId="0" applyFont="1" applyFill="1" applyAlignment="1">
      <alignment horizontal="center"/>
    </xf>
    <xf numFmtId="0" fontId="79" fillId="2" borderId="0" xfId="0" applyFont="1" applyFill="1"/>
    <xf numFmtId="169" fontId="80" fillId="0" borderId="0" xfId="5" applyNumberFormat="1" applyFont="1"/>
    <xf numFmtId="175" fontId="33" fillId="5" borderId="15" xfId="0" applyNumberFormat="1" applyFont="1" applyFill="1" applyBorder="1" applyAlignment="1">
      <alignment horizontal="left"/>
    </xf>
    <xf numFmtId="175" fontId="66" fillId="5" borderId="18" xfId="0" applyNumberFormat="1" applyFont="1" applyFill="1" applyBorder="1" applyAlignment="1">
      <alignment horizontal="right"/>
    </xf>
    <xf numFmtId="3" fontId="0" fillId="2" borderId="0" xfId="5" applyNumberFormat="1" applyFont="1" applyFill="1" applyBorder="1" applyProtection="1"/>
    <xf numFmtId="0" fontId="26" fillId="6" borderId="0" xfId="10" applyFont="1" applyFill="1" applyAlignment="1" applyProtection="1">
      <alignment horizontal="center"/>
      <protection locked="0"/>
    </xf>
    <xf numFmtId="0" fontId="20" fillId="6" borderId="0" xfId="10" applyFont="1" applyFill="1" applyAlignment="1" applyProtection="1">
      <alignment horizontal="center"/>
      <protection locked="0"/>
    </xf>
    <xf numFmtId="0" fontId="42" fillId="3" borderId="0" xfId="0" applyFont="1" applyFill="1" applyAlignment="1" applyProtection="1">
      <alignment horizontal="left"/>
      <protection locked="0"/>
    </xf>
    <xf numFmtId="0" fontId="79" fillId="3" borderId="4" xfId="0" applyFont="1" applyFill="1" applyBorder="1" applyProtection="1">
      <protection locked="0"/>
    </xf>
    <xf numFmtId="0" fontId="76" fillId="3" borderId="0" xfId="0" applyFont="1" applyFill="1" applyAlignment="1" applyProtection="1">
      <alignment horizontal="center"/>
      <protection locked="0"/>
    </xf>
    <xf numFmtId="0" fontId="78" fillId="3" borderId="0" xfId="0" applyFont="1" applyFill="1" applyProtection="1">
      <protection locked="0"/>
    </xf>
    <xf numFmtId="0" fontId="1" fillId="0" borderId="0" xfId="0" applyFont="1"/>
    <xf numFmtId="169" fontId="0" fillId="0" borderId="0" xfId="5" applyNumberFormat="1" applyFont="1"/>
    <xf numFmtId="0" fontId="1" fillId="2" borderId="0" xfId="0" applyFont="1" applyFill="1"/>
    <xf numFmtId="0" fontId="22" fillId="0" borderId="0" xfId="5" applyNumberFormat="1" applyFont="1" applyAlignment="1">
      <alignment horizontal="center" vertical="center"/>
    </xf>
    <xf numFmtId="169" fontId="82" fillId="0" borderId="0" xfId="0" applyNumberFormat="1" applyFont="1"/>
    <xf numFmtId="0" fontId="68" fillId="0" borderId="3" xfId="10" applyFont="1" applyBorder="1" applyAlignment="1">
      <alignment horizontal="center"/>
    </xf>
    <xf numFmtId="0" fontId="68" fillId="0" borderId="17" xfId="10" applyFont="1" applyBorder="1" applyAlignment="1">
      <alignment horizontal="center"/>
    </xf>
    <xf numFmtId="0" fontId="68" fillId="0" borderId="20" xfId="10" applyFont="1" applyBorder="1" applyAlignment="1">
      <alignment horizontal="center"/>
    </xf>
    <xf numFmtId="0" fontId="68" fillId="0" borderId="21" xfId="10" applyFont="1" applyBorder="1" applyAlignment="1">
      <alignment horizontal="center"/>
    </xf>
    <xf numFmtId="0" fontId="85" fillId="0" borderId="0" xfId="7" applyFont="1"/>
    <xf numFmtId="0" fontId="84" fillId="0" borderId="0" xfId="0" applyFont="1"/>
    <xf numFmtId="0" fontId="0" fillId="8" borderId="0" xfId="0" applyFill="1"/>
    <xf numFmtId="0" fontId="82" fillId="0" borderId="0" xfId="0" applyFont="1"/>
    <xf numFmtId="0" fontId="81" fillId="7" borderId="0" xfId="0" applyFont="1" applyFill="1"/>
    <xf numFmtId="0" fontId="86" fillId="7" borderId="0" xfId="0" applyFont="1" applyFill="1" applyAlignment="1">
      <alignment horizontal="center"/>
    </xf>
    <xf numFmtId="0" fontId="0" fillId="0" borderId="18" xfId="0" applyBorder="1" applyAlignment="1">
      <alignment horizontal="center"/>
    </xf>
    <xf numFmtId="168" fontId="8" fillId="0" borderId="18" xfId="5" applyNumberFormat="1" applyFont="1" applyFill="1" applyBorder="1" applyProtection="1"/>
    <xf numFmtId="168" fontId="8" fillId="0" borderId="5" xfId="5" applyNumberFormat="1" applyFont="1" applyFill="1" applyBorder="1" applyProtection="1"/>
    <xf numFmtId="0" fontId="87" fillId="3" borderId="0" xfId="0" applyFont="1" applyFill="1"/>
    <xf numFmtId="49" fontId="22" fillId="6" borderId="0" xfId="10" applyNumberFormat="1" applyFont="1" applyFill="1" applyAlignment="1" applyProtection="1">
      <alignment horizontal="center"/>
      <protection locked="0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0" xfId="0" applyFont="1" applyAlignment="1">
      <alignment horizontal="center"/>
    </xf>
    <xf numFmtId="3" fontId="0" fillId="2" borderId="23" xfId="5" applyNumberFormat="1" applyFont="1" applyFill="1" applyBorder="1" applyAlignment="1" applyProtection="1">
      <alignment horizontal="right"/>
      <protection locked="0"/>
    </xf>
    <xf numFmtId="3" fontId="0" fillId="2" borderId="24" xfId="5" applyNumberFormat="1" applyFont="1" applyFill="1" applyBorder="1" applyAlignment="1" applyProtection="1">
      <alignment horizontal="right"/>
      <protection locked="0"/>
    </xf>
    <xf numFmtId="3" fontId="0" fillId="2" borderId="25" xfId="5" applyNumberFormat="1" applyFont="1" applyFill="1" applyBorder="1" applyAlignment="1" applyProtection="1">
      <alignment horizontal="right"/>
      <protection locked="0"/>
    </xf>
    <xf numFmtId="3" fontId="0" fillId="2" borderId="26" xfId="5" applyNumberFormat="1" applyFont="1" applyFill="1" applyBorder="1" applyAlignment="1" applyProtection="1">
      <alignment horizontal="right"/>
      <protection locked="0"/>
    </xf>
    <xf numFmtId="3" fontId="0" fillId="2" borderId="27" xfId="5" applyNumberFormat="1" applyFont="1" applyFill="1" applyBorder="1" applyAlignment="1" applyProtection="1">
      <alignment horizontal="right"/>
      <protection locked="0"/>
    </xf>
    <xf numFmtId="3" fontId="0" fillId="2" borderId="28" xfId="5" applyNumberFormat="1" applyFont="1" applyFill="1" applyBorder="1" applyAlignment="1" applyProtection="1">
      <alignment horizontal="right"/>
      <protection locked="0"/>
    </xf>
    <xf numFmtId="3" fontId="0" fillId="2" borderId="29" xfId="5" applyNumberFormat="1" applyFont="1" applyFill="1" applyBorder="1" applyAlignment="1" applyProtection="1">
      <alignment horizontal="right"/>
      <protection locked="0"/>
    </xf>
    <xf numFmtId="0" fontId="33" fillId="2" borderId="30" xfId="0" applyFont="1" applyFill="1" applyBorder="1" applyAlignment="1" applyProtection="1">
      <alignment horizontal="center"/>
      <protection locked="0"/>
    </xf>
    <xf numFmtId="0" fontId="33" fillId="2" borderId="31" xfId="0" applyFont="1" applyFill="1" applyBorder="1" applyAlignment="1" applyProtection="1">
      <alignment horizontal="center"/>
      <protection locked="0"/>
    </xf>
    <xf numFmtId="0" fontId="33" fillId="2" borderId="32" xfId="0" applyFont="1" applyFill="1" applyBorder="1" applyAlignment="1" applyProtection="1">
      <alignment horizontal="center"/>
      <protection locked="0"/>
    </xf>
    <xf numFmtId="0" fontId="36" fillId="2" borderId="22" xfId="0" applyFont="1" applyFill="1" applyBorder="1" applyAlignment="1">
      <alignment horizontal="center"/>
    </xf>
    <xf numFmtId="0" fontId="36" fillId="2" borderId="23" xfId="0" applyFont="1" applyFill="1" applyBorder="1" applyAlignment="1">
      <alignment horizontal="center"/>
    </xf>
    <xf numFmtId="0" fontId="36" fillId="2" borderId="24" xfId="0" applyFont="1" applyFill="1" applyBorder="1" applyAlignment="1">
      <alignment horizontal="center"/>
    </xf>
    <xf numFmtId="169" fontId="20" fillId="5" borderId="25" xfId="5" applyNumberFormat="1" applyFont="1" applyFill="1" applyBorder="1" applyProtection="1"/>
    <xf numFmtId="169" fontId="20" fillId="5" borderId="26" xfId="5" applyNumberFormat="1" applyFont="1" applyFill="1" applyBorder="1" applyAlignment="1" applyProtection="1">
      <alignment horizontal="right"/>
    </xf>
    <xf numFmtId="169" fontId="66" fillId="5" borderId="25" xfId="5" applyNumberFormat="1" applyFont="1" applyFill="1" applyBorder="1" applyAlignment="1" applyProtection="1">
      <alignment horizontal="right"/>
    </xf>
    <xf numFmtId="169" fontId="66" fillId="5" borderId="27" xfId="5" applyNumberFormat="1" applyFont="1" applyFill="1" applyBorder="1" applyAlignment="1" applyProtection="1">
      <alignment horizontal="right"/>
    </xf>
    <xf numFmtId="3" fontId="20" fillId="2" borderId="23" xfId="5" applyNumberFormat="1" applyFont="1" applyFill="1" applyBorder="1" applyProtection="1">
      <protection locked="0"/>
    </xf>
    <xf numFmtId="3" fontId="20" fillId="2" borderId="28" xfId="5" applyNumberFormat="1" applyFont="1" applyFill="1" applyBorder="1" applyProtection="1">
      <protection locked="0"/>
    </xf>
    <xf numFmtId="3" fontId="20" fillId="2" borderId="29" xfId="5" applyNumberFormat="1" applyFont="1" applyFill="1" applyBorder="1" applyProtection="1">
      <protection locked="0"/>
    </xf>
    <xf numFmtId="3" fontId="0" fillId="2" borderId="31" xfId="5" applyNumberFormat="1" applyFont="1" applyFill="1" applyBorder="1" applyAlignment="1" applyProtection="1">
      <alignment horizontal="right"/>
      <protection locked="0"/>
    </xf>
    <xf numFmtId="3" fontId="0" fillId="2" borderId="32" xfId="5" applyNumberFormat="1" applyFont="1" applyFill="1" applyBorder="1" applyAlignment="1" applyProtection="1">
      <alignment horizontal="right"/>
      <protection locked="0"/>
    </xf>
    <xf numFmtId="3" fontId="0" fillId="2" borderId="23" xfId="5" applyNumberFormat="1" applyFont="1" applyFill="1" applyBorder="1" applyProtection="1">
      <protection locked="0"/>
    </xf>
    <xf numFmtId="3" fontId="0" fillId="2" borderId="24" xfId="5" applyNumberFormat="1" applyFont="1" applyFill="1" applyBorder="1" applyProtection="1">
      <protection locked="0"/>
    </xf>
    <xf numFmtId="3" fontId="0" fillId="2" borderId="28" xfId="5" applyNumberFormat="1" applyFont="1" applyFill="1" applyBorder="1" applyProtection="1">
      <protection locked="0"/>
    </xf>
    <xf numFmtId="3" fontId="0" fillId="2" borderId="29" xfId="5" applyNumberFormat="1" applyFont="1" applyFill="1" applyBorder="1" applyProtection="1">
      <protection locked="0"/>
    </xf>
    <xf numFmtId="178" fontId="0" fillId="2" borderId="23" xfId="5" applyNumberFormat="1" applyFont="1" applyFill="1" applyBorder="1" applyProtection="1">
      <protection locked="0"/>
    </xf>
    <xf numFmtId="178" fontId="0" fillId="2" borderId="24" xfId="5" applyNumberFormat="1" applyFont="1" applyFill="1" applyBorder="1" applyProtection="1">
      <protection locked="0"/>
    </xf>
    <xf numFmtId="178" fontId="0" fillId="2" borderId="26" xfId="5" applyNumberFormat="1" applyFont="1" applyFill="1" applyBorder="1" applyProtection="1">
      <protection locked="0"/>
    </xf>
    <xf numFmtId="178" fontId="0" fillId="2" borderId="27" xfId="5" applyNumberFormat="1" applyFont="1" applyFill="1" applyBorder="1" applyProtection="1">
      <protection locked="0"/>
    </xf>
    <xf numFmtId="178" fontId="0" fillId="2" borderId="28" xfId="5" applyNumberFormat="1" applyFont="1" applyFill="1" applyBorder="1" applyProtection="1">
      <protection locked="0"/>
    </xf>
    <xf numFmtId="178" fontId="0" fillId="2" borderId="29" xfId="5" applyNumberFormat="1" applyFont="1" applyFill="1" applyBorder="1" applyProtection="1">
      <protection locked="0"/>
    </xf>
    <xf numFmtId="3" fontId="0" fillId="2" borderId="22" xfId="0" applyNumberFormat="1" applyFill="1" applyBorder="1" applyAlignment="1" applyProtection="1">
      <alignment horizontal="right"/>
      <protection locked="0"/>
    </xf>
    <xf numFmtId="3" fontId="0" fillId="2" borderId="23" xfId="0" applyNumberFormat="1" applyFill="1" applyBorder="1" applyAlignment="1" applyProtection="1">
      <alignment horizontal="right"/>
      <protection locked="0"/>
    </xf>
    <xf numFmtId="3" fontId="0" fillId="2" borderId="24" xfId="0" applyNumberFormat="1" applyFill="1" applyBorder="1" applyAlignment="1" applyProtection="1">
      <alignment horizontal="right"/>
      <protection locked="0"/>
    </xf>
    <xf numFmtId="3" fontId="0" fillId="2" borderId="25" xfId="0" applyNumberFormat="1" applyFill="1" applyBorder="1" applyAlignment="1" applyProtection="1">
      <alignment horizontal="right"/>
      <protection locked="0"/>
    </xf>
    <xf numFmtId="3" fontId="0" fillId="2" borderId="26" xfId="0" applyNumberFormat="1" applyFill="1" applyBorder="1" applyAlignment="1" applyProtection="1">
      <alignment horizontal="right"/>
      <protection locked="0"/>
    </xf>
    <xf numFmtId="3" fontId="0" fillId="2" borderId="27" xfId="0" applyNumberFormat="1" applyFill="1" applyBorder="1" applyAlignment="1" applyProtection="1">
      <alignment horizontal="right"/>
      <protection locked="0"/>
    </xf>
    <xf numFmtId="3" fontId="0" fillId="2" borderId="28" xfId="0" applyNumberFormat="1" applyFill="1" applyBorder="1" applyAlignment="1" applyProtection="1">
      <alignment horizontal="right"/>
      <protection locked="0"/>
    </xf>
    <xf numFmtId="3" fontId="0" fillId="2" borderId="29" xfId="0" applyNumberFormat="1" applyFill="1" applyBorder="1" applyAlignment="1" applyProtection="1">
      <alignment horizontal="right"/>
      <protection locked="0"/>
    </xf>
    <xf numFmtId="3" fontId="0" fillId="2" borderId="22" xfId="0" applyNumberFormat="1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3" fontId="0" fillId="2" borderId="24" xfId="0" applyNumberFormat="1" applyFill="1" applyBorder="1" applyProtection="1">
      <protection locked="0"/>
    </xf>
    <xf numFmtId="3" fontId="0" fillId="2" borderId="27" xfId="0" applyNumberFormat="1" applyFill="1" applyBorder="1" applyProtection="1">
      <protection locked="0"/>
    </xf>
    <xf numFmtId="3" fontId="0" fillId="2" borderId="28" xfId="0" applyNumberFormat="1" applyFill="1" applyBorder="1" applyProtection="1">
      <protection locked="0"/>
    </xf>
    <xf numFmtId="3" fontId="0" fillId="2" borderId="29" xfId="0" applyNumberFormat="1" applyFill="1" applyBorder="1" applyProtection="1">
      <protection locked="0"/>
    </xf>
    <xf numFmtId="178" fontId="0" fillId="2" borderId="23" xfId="0" applyNumberFormat="1" applyFill="1" applyBorder="1" applyProtection="1">
      <protection locked="0"/>
    </xf>
    <xf numFmtId="178" fontId="0" fillId="2" borderId="24" xfId="0" applyNumberFormat="1" applyFill="1" applyBorder="1" applyProtection="1">
      <protection locked="0"/>
    </xf>
    <xf numFmtId="178" fontId="0" fillId="2" borderId="26" xfId="0" applyNumberFormat="1" applyFill="1" applyBorder="1" applyProtection="1">
      <protection locked="0"/>
    </xf>
    <xf numFmtId="178" fontId="0" fillId="2" borderId="28" xfId="0" applyNumberFormat="1" applyFill="1" applyBorder="1" applyProtection="1">
      <protection locked="0"/>
    </xf>
    <xf numFmtId="178" fontId="0" fillId="2" borderId="29" xfId="0" applyNumberFormat="1" applyFill="1" applyBorder="1" applyProtection="1">
      <protection locked="0"/>
    </xf>
    <xf numFmtId="0" fontId="88" fillId="0" borderId="0" xfId="7" applyFont="1"/>
    <xf numFmtId="0" fontId="89" fillId="0" borderId="0" xfId="0" applyFont="1"/>
    <xf numFmtId="172" fontId="84" fillId="0" borderId="0" xfId="0" applyNumberFormat="1" applyFont="1"/>
    <xf numFmtId="172" fontId="82" fillId="0" borderId="0" xfId="0" applyNumberFormat="1" applyFont="1"/>
    <xf numFmtId="172" fontId="89" fillId="0" borderId="0" xfId="0" applyNumberFormat="1" applyFont="1"/>
    <xf numFmtId="172" fontId="0" fillId="0" borderId="0" xfId="0" applyNumberFormat="1"/>
    <xf numFmtId="172" fontId="84" fillId="8" borderId="0" xfId="0" applyNumberFormat="1" applyFont="1" applyFill="1"/>
    <xf numFmtId="0" fontId="26" fillId="6" borderId="16" xfId="10" applyFont="1" applyFill="1" applyBorder="1" applyAlignment="1">
      <alignment horizontal="center"/>
    </xf>
    <xf numFmtId="0" fontId="26" fillId="6" borderId="9" xfId="10" applyFont="1" applyFill="1" applyBorder="1" applyAlignment="1" applyProtection="1">
      <alignment horizontal="center"/>
      <protection locked="0"/>
    </xf>
    <xf numFmtId="0" fontId="29" fillId="6" borderId="15" xfId="10" applyFont="1" applyFill="1" applyBorder="1" applyAlignment="1">
      <alignment horizontal="center"/>
    </xf>
    <xf numFmtId="0" fontId="29" fillId="6" borderId="19" xfId="10" applyFont="1" applyFill="1" applyBorder="1" applyAlignment="1">
      <alignment horizontal="center"/>
    </xf>
    <xf numFmtId="0" fontId="29" fillId="6" borderId="16" xfId="10" applyFont="1" applyFill="1" applyBorder="1" applyAlignment="1">
      <alignment horizontal="center"/>
    </xf>
    <xf numFmtId="172" fontId="91" fillId="0" borderId="0" xfId="0" applyNumberFormat="1" applyFont="1"/>
    <xf numFmtId="0" fontId="92" fillId="0" borderId="0" xfId="5" applyNumberFormat="1" applyFont="1" applyAlignment="1">
      <alignment horizontal="center" vertical="center"/>
    </xf>
    <xf numFmtId="0" fontId="91" fillId="0" borderId="0" xfId="5" applyNumberFormat="1" applyFont="1" applyAlignment="1">
      <alignment horizontal="center" vertical="center" wrapText="1"/>
    </xf>
    <xf numFmtId="0" fontId="91" fillId="0" borderId="0" xfId="0" applyFont="1"/>
    <xf numFmtId="0" fontId="93" fillId="0" borderId="0" xfId="7" applyFont="1"/>
    <xf numFmtId="49" fontId="22" fillId="6" borderId="0" xfId="10" applyNumberFormat="1" applyFont="1" applyFill="1" applyAlignment="1" applyProtection="1">
      <alignment horizontal="center" wrapText="1"/>
      <protection locked="0"/>
    </xf>
    <xf numFmtId="0" fontId="22" fillId="0" borderId="18" xfId="0" applyFont="1" applyBorder="1" applyAlignment="1">
      <alignment horizontal="center" wrapText="1"/>
    </xf>
    <xf numFmtId="0" fontId="22" fillId="8" borderId="18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94" fillId="0" borderId="0" xfId="7" applyFont="1"/>
    <xf numFmtId="0" fontId="95" fillId="0" borderId="0" xfId="0" applyFont="1"/>
    <xf numFmtId="0" fontId="96" fillId="6" borderId="0" xfId="10" applyFont="1" applyFill="1" applyAlignment="1" applyProtection="1">
      <alignment horizontal="center"/>
      <protection locked="0"/>
    </xf>
    <xf numFmtId="0" fontId="96" fillId="6" borderId="0" xfId="10" applyFont="1" applyFill="1" applyAlignment="1" applyProtection="1">
      <alignment horizontal="center" wrapText="1"/>
      <protection locked="0"/>
    </xf>
    <xf numFmtId="172" fontId="95" fillId="0" borderId="0" xfId="0" applyNumberFormat="1" applyFont="1"/>
    <xf numFmtId="37" fontId="98" fillId="0" borderId="0" xfId="9" applyFont="1"/>
    <xf numFmtId="176" fontId="97" fillId="0" borderId="0" xfId="5" applyNumberFormat="1" applyFont="1" applyFill="1" applyBorder="1" applyAlignment="1" applyProtection="1">
      <alignment horizontal="right"/>
    </xf>
    <xf numFmtId="176" fontId="8" fillId="0" borderId="18" xfId="5" applyNumberFormat="1" applyFont="1" applyFill="1" applyBorder="1" applyAlignment="1" applyProtection="1">
      <alignment horizontal="right"/>
    </xf>
    <xf numFmtId="0" fontId="79" fillId="3" borderId="0" xfId="0" applyFont="1" applyFill="1" applyAlignment="1" applyProtection="1">
      <alignment horizontal="center"/>
      <protection locked="0"/>
    </xf>
    <xf numFmtId="0" fontId="70" fillId="0" borderId="0" xfId="5" applyNumberFormat="1" applyFont="1" applyFill="1" applyBorder="1" applyAlignment="1">
      <alignment horizontal="center"/>
    </xf>
    <xf numFmtId="0" fontId="99" fillId="3" borderId="0" xfId="0" applyFont="1" applyFill="1"/>
    <xf numFmtId="179" fontId="8" fillId="0" borderId="17" xfId="5" applyNumberFormat="1" applyFont="1" applyFill="1" applyBorder="1" applyAlignment="1" applyProtection="1">
      <alignment horizontal="right"/>
    </xf>
    <xf numFmtId="172" fontId="91" fillId="9" borderId="0" xfId="0" applyNumberFormat="1" applyFont="1" applyFill="1"/>
    <xf numFmtId="0" fontId="100" fillId="0" borderId="0" xfId="10" applyFont="1" applyAlignment="1">
      <alignment horizontal="center"/>
    </xf>
    <xf numFmtId="49" fontId="22" fillId="0" borderId="0" xfId="10" applyNumberFormat="1" applyFont="1" applyAlignment="1">
      <alignment horizontal="center"/>
    </xf>
    <xf numFmtId="0" fontId="1" fillId="0" borderId="0" xfId="10" applyFont="1" applyAlignment="1">
      <alignment horizontal="center"/>
    </xf>
    <xf numFmtId="0" fontId="29" fillId="0" borderId="0" xfId="10" applyFont="1" applyAlignment="1">
      <alignment horizontal="center"/>
    </xf>
    <xf numFmtId="0" fontId="77" fillId="2" borderId="0" xfId="0" applyFont="1" applyFill="1" applyAlignment="1">
      <alignment horizontal="left"/>
    </xf>
    <xf numFmtId="0" fontId="101" fillId="3" borderId="0" xfId="0" applyFont="1" applyFill="1" applyAlignment="1">
      <alignment horizontal="left"/>
    </xf>
    <xf numFmtId="169" fontId="8" fillId="0" borderId="5" xfId="5" applyNumberFormat="1" applyFont="1" applyFill="1" applyBorder="1" applyProtection="1"/>
    <xf numFmtId="169" fontId="19" fillId="0" borderId="15" xfId="5" applyNumberFormat="1" applyFont="1" applyFill="1" applyBorder="1" applyProtection="1"/>
    <xf numFmtId="0" fontId="0" fillId="2" borderId="18" xfId="0" applyFill="1" applyBorder="1"/>
    <xf numFmtId="3" fontId="22" fillId="2" borderId="18" xfId="5" applyNumberFormat="1" applyFont="1" applyFill="1" applyBorder="1" applyProtection="1">
      <protection locked="0"/>
    </xf>
    <xf numFmtId="0" fontId="1" fillId="4" borderId="0" xfId="0" applyFont="1" applyFill="1"/>
    <xf numFmtId="1" fontId="19" fillId="2" borderId="18" xfId="5" applyNumberFormat="1" applyFont="1" applyFill="1" applyBorder="1" applyProtection="1"/>
    <xf numFmtId="3" fontId="0" fillId="2" borderId="22" xfId="5" applyNumberFormat="1" applyFont="1" applyFill="1" applyBorder="1" applyProtection="1">
      <protection locked="0"/>
    </xf>
    <xf numFmtId="3" fontId="0" fillId="2" borderId="27" xfId="5" applyNumberFormat="1" applyFont="1" applyFill="1" applyBorder="1" applyProtection="1">
      <protection locked="0"/>
    </xf>
    <xf numFmtId="176" fontId="8" fillId="0" borderId="16" xfId="9" applyNumberFormat="1" applyFont="1" applyBorder="1"/>
    <xf numFmtId="176" fontId="8" fillId="0" borderId="8" xfId="9" applyNumberFormat="1" applyFont="1" applyBorder="1" applyAlignment="1">
      <alignment horizontal="right"/>
    </xf>
    <xf numFmtId="169" fontId="8" fillId="0" borderId="18" xfId="5" applyNumberFormat="1" applyFont="1" applyFill="1" applyBorder="1" applyProtection="1"/>
    <xf numFmtId="169" fontId="8" fillId="0" borderId="5" xfId="5" applyNumberFormat="1" applyFont="1" applyBorder="1"/>
    <xf numFmtId="169" fontId="19" fillId="0" borderId="15" xfId="5" applyNumberFormat="1" applyFont="1" applyBorder="1"/>
    <xf numFmtId="0" fontId="0" fillId="10" borderId="0" xfId="0" applyFill="1"/>
    <xf numFmtId="172" fontId="82" fillId="10" borderId="0" xfId="0" applyNumberFormat="1" applyFont="1" applyFill="1"/>
    <xf numFmtId="172" fontId="84" fillId="10" borderId="0" xfId="0" applyNumberFormat="1" applyFont="1" applyFill="1"/>
    <xf numFmtId="172" fontId="91" fillId="10" borderId="0" xfId="0" applyNumberFormat="1" applyFont="1" applyFill="1"/>
    <xf numFmtId="172" fontId="95" fillId="10" borderId="0" xfId="0" applyNumberFormat="1" applyFont="1" applyFill="1"/>
    <xf numFmtId="172" fontId="0" fillId="10" borderId="0" xfId="0" applyNumberFormat="1" applyFill="1"/>
    <xf numFmtId="178" fontId="1" fillId="2" borderId="18" xfId="5" applyNumberFormat="1" applyFont="1" applyFill="1" applyBorder="1" applyProtection="1">
      <protection locked="0"/>
    </xf>
    <xf numFmtId="178" fontId="0" fillId="2" borderId="0" xfId="0" applyNumberFormat="1" applyFill="1"/>
    <xf numFmtId="178" fontId="0" fillId="2" borderId="18" xfId="0" applyNumberFormat="1" applyFill="1" applyBorder="1"/>
    <xf numFmtId="0" fontId="22" fillId="2" borderId="33" xfId="0" applyFont="1" applyFill="1" applyBorder="1" applyAlignment="1" applyProtection="1">
      <alignment horizontal="left"/>
      <protection locked="0"/>
    </xf>
    <xf numFmtId="0" fontId="22" fillId="2" borderId="12" xfId="0" applyFont="1" applyFill="1" applyBorder="1" applyAlignment="1" applyProtection="1">
      <alignment horizontal="left"/>
      <protection locked="0"/>
    </xf>
    <xf numFmtId="0" fontId="22" fillId="2" borderId="13" xfId="0" applyFont="1" applyFill="1" applyBorder="1" applyAlignment="1" applyProtection="1">
      <alignment horizontal="left"/>
      <protection locked="0"/>
    </xf>
    <xf numFmtId="0" fontId="22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</cellXfs>
  <cellStyles count="16">
    <cellStyle name="Afrundet valut" xfId="1" xr:uid="{00000000-0005-0000-0000-000000000000}"/>
    <cellStyle name="Belb" xfId="2" xr:uid="{00000000-0005-0000-0000-000001000000}"/>
    <cellStyle name="Dato" xfId="3" xr:uid="{00000000-0005-0000-0000-000002000000}"/>
    <cellStyle name="Fast" xfId="4" xr:uid="{00000000-0005-0000-0000-000003000000}"/>
    <cellStyle name="Komma" xfId="5" builtinId="3"/>
    <cellStyle name="Link" xfId="6" builtinId="8"/>
    <cellStyle name="Normal" xfId="0" builtinId="0"/>
    <cellStyle name="Normal 2" xfId="15" xr:uid="{00000000-0005-0000-0000-000007000000}"/>
    <cellStyle name="Normal_eloco2 beh" xfId="7" xr:uid="{00000000-0005-0000-0000-000008000000}"/>
    <cellStyle name="Normal_ENGHAVE2" xfId="8" xr:uid="{00000000-0005-0000-0000-000009000000}"/>
    <cellStyle name="Normal_ENGHAVE2_1" xfId="9" xr:uid="{00000000-0005-0000-0000-00000A000000}"/>
    <cellStyle name="Normal_GRADD-TI" xfId="10" xr:uid="{00000000-0005-0000-0000-00000B000000}"/>
    <cellStyle name="Overskrift1" xfId="11" xr:uid="{00000000-0005-0000-0000-00000C000000}"/>
    <cellStyle name="Overskrift2" xfId="12" xr:uid="{00000000-0005-0000-0000-00000D000000}"/>
    <cellStyle name="Punktum" xfId="13" xr:uid="{00000000-0005-0000-0000-00000E000000}"/>
    <cellStyle name="Total" xfId="14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Varmeforbrug pr. m</a:t>
            </a:r>
            <a:r>
              <a:rPr lang="da-DK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6577251669044725"/>
          <c:y val="4.954954954954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798690158822749"/>
          <c:y val="0.14864930254655187"/>
          <c:w val="0.76845763497803554"/>
          <c:h val="0.621624356103762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'BASIS-regneark'!$A$24</c:f>
              <c:strCache>
                <c:ptCount val="1"/>
                <c:pt idx="0">
                  <c:v>   rumvarme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'BASIS-regneark'!$C$24:$H$24</c:f>
              <c:numCache>
                <c:formatCode>0.0</c:formatCode>
                <c:ptCount val="6"/>
                <c:pt idx="0">
                  <c:v>95.129202881375761</c:v>
                </c:pt>
                <c:pt idx="1">
                  <c:v>91.189298677915829</c:v>
                </c:pt>
                <c:pt idx="2">
                  <c:v>80.412686895908365</c:v>
                </c:pt>
                <c:pt idx="3">
                  <c:v>94.342509906878405</c:v>
                </c:pt>
                <c:pt idx="4">
                  <c:v>89.573913438136458</c:v>
                </c:pt>
                <c:pt idx="5">
                  <c:v>90.303051269632604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4-4BFB-A459-B7A1E873160B}"/>
            </c:ext>
          </c:extLst>
        </c:ser>
        <c:ser>
          <c:idx val="1"/>
          <c:order val="1"/>
          <c:tx>
            <c:strRef>
              <c:f>'BASIS-regneark'!$A$25</c:f>
              <c:strCache>
                <c:ptCount val="1"/>
                <c:pt idx="0">
                  <c:v>   varmt vand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'BASIS-regneark'!$C$25:$H$25</c:f>
              <c:numCache>
                <c:formatCode>0.0</c:formatCode>
                <c:ptCount val="6"/>
                <c:pt idx="0">
                  <c:v>16.778523489932887</c:v>
                </c:pt>
                <c:pt idx="1">
                  <c:v>16.375838926174495</c:v>
                </c:pt>
                <c:pt idx="2">
                  <c:v>15.436241610738255</c:v>
                </c:pt>
                <c:pt idx="3">
                  <c:v>16.107382550335572</c:v>
                </c:pt>
                <c:pt idx="4">
                  <c:v>15.771812080536913</c:v>
                </c:pt>
                <c:pt idx="5">
                  <c:v>15.100671140939598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04-4BFB-A459-B7A1E8731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06432"/>
        <c:axId val="135907968"/>
      </c:barChart>
      <c:catAx>
        <c:axId val="13590643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07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907968"/>
        <c:scaling>
          <c:orientation val="minMax"/>
          <c:max val="15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kWh</a:t>
                </a:r>
              </a:p>
            </c:rich>
          </c:tx>
          <c:layout>
            <c:manualLayout>
              <c:xMode val="edge"/>
              <c:yMode val="edge"/>
              <c:x val="3.0201342281879196E-2"/>
              <c:y val="0.414416306069849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06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58424492240484"/>
          <c:y val="0.88288666619375278"/>
          <c:w val="0.64094065423030167"/>
          <c:h val="9.00905630039487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Elforbrug pr. person</a:t>
            </a:r>
          </a:p>
        </c:rich>
      </c:tx>
      <c:layout>
        <c:manualLayout>
          <c:xMode val="edge"/>
          <c:yMode val="edge"/>
          <c:x val="0.43434484830810288"/>
          <c:y val="4.5662100456621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75489515893031"/>
          <c:y val="0.14611937303516087"/>
          <c:w val="0.77104630631282323"/>
          <c:h val="0.63013979621413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'!$A$29</c:f>
              <c:strCache>
                <c:ptCount val="1"/>
                <c:pt idx="0">
                  <c:v>   standard-el fra nettet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'!$C$29:$H$29</c:f>
              <c:numCache>
                <c:formatCode>0</c:formatCode>
                <c:ptCount val="6"/>
                <c:pt idx="0">
                  <c:v>954.8</c:v>
                </c:pt>
                <c:pt idx="1">
                  <c:v>944.29708222811666</c:v>
                </c:pt>
                <c:pt idx="2">
                  <c:v>915.56728232189971</c:v>
                </c:pt>
                <c:pt idx="3">
                  <c:v>594.24083769633512</c:v>
                </c:pt>
                <c:pt idx="4">
                  <c:v>589.97361477572565</c:v>
                </c:pt>
                <c:pt idx="5">
                  <c:v>530.60686015831129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F-455F-BEFF-FD8DB6F3F896}"/>
            </c:ext>
          </c:extLst>
        </c:ser>
        <c:ser>
          <c:idx val="1"/>
          <c:order val="1"/>
          <c:tx>
            <c:strRef>
              <c:f>'BASIS-X-regneark '!$A$30</c:f>
              <c:strCache>
                <c:ptCount val="1"/>
                <c:pt idx="0">
                  <c:v>   Alternativ elforsyning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'!$C$30:$H$30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342.93193717277489</c:v>
                </c:pt>
                <c:pt idx="4">
                  <c:v>348.28496042216358</c:v>
                </c:pt>
                <c:pt idx="5">
                  <c:v>356.20052770448547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F-455F-BEFF-FD8DB6F3F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913856"/>
        <c:axId val="137915392"/>
      </c:barChart>
      <c:catAx>
        <c:axId val="137913856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915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9153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kWh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15527031723774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91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707424198237848E-2"/>
          <c:y val="0.89498100408681791"/>
          <c:w val="0.91246074038724956"/>
          <c:h val="9.13246803053727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Vandforbrug pr. person</a:t>
            </a:r>
          </a:p>
        </c:rich>
      </c:tx>
      <c:layout>
        <c:manualLayout>
          <c:xMode val="edge"/>
          <c:yMode val="edge"/>
          <c:x val="0.36486486486486486"/>
          <c:y val="4.109589041095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16216216217"/>
          <c:y val="0.1415531426278121"/>
          <c:w val="0.82432432432432434"/>
          <c:h val="0.63013979621413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'!$A$37</c:f>
              <c:strCache>
                <c:ptCount val="1"/>
                <c:pt idx="0">
                  <c:v>   vandværksvand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'!$C$37:$H$37</c:f>
              <c:numCache>
                <c:formatCode>#,##0</c:formatCode>
                <c:ptCount val="6"/>
                <c:pt idx="0">
                  <c:v>31.946666666666665</c:v>
                </c:pt>
                <c:pt idx="1">
                  <c:v>30.344827586206897</c:v>
                </c:pt>
                <c:pt idx="2">
                  <c:v>31.767810026385224</c:v>
                </c:pt>
                <c:pt idx="3">
                  <c:v>31.465968586387433</c:v>
                </c:pt>
                <c:pt idx="4">
                  <c:v>30.606860158311346</c:v>
                </c:pt>
                <c:pt idx="5">
                  <c:v>31.002638522427439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5-4D65-ABCA-A859B6A9A3B3}"/>
            </c:ext>
          </c:extLst>
        </c:ser>
        <c:ser>
          <c:idx val="1"/>
          <c:order val="1"/>
          <c:tx>
            <c:strRef>
              <c:f>'BASIS-X-regneark '!$A$38</c:f>
              <c:strCache>
                <c:ptCount val="1"/>
                <c:pt idx="0">
                  <c:v>   alternativ vandforsynng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'!$C$38:$H$38</c:f>
              <c:numCache>
                <c:formatCode>#,##0</c:formatCode>
                <c:ptCount val="6"/>
                <c:pt idx="0">
                  <c:v>6</c:v>
                </c:pt>
                <c:pt idx="1">
                  <c:v>5.3209549071618039</c:v>
                </c:pt>
                <c:pt idx="2">
                  <c:v>6.1741424802110814</c:v>
                </c:pt>
                <c:pt idx="3">
                  <c:v>5.5759162303664924</c:v>
                </c:pt>
                <c:pt idx="4">
                  <c:v>6.5699208443271768</c:v>
                </c:pt>
                <c:pt idx="5">
                  <c:v>6.3852242744063323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15-4D65-ABCA-A859B6A9A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36160"/>
        <c:axId val="137037696"/>
      </c:barChart>
      <c:catAx>
        <c:axId val="137036160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37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037696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a-DK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da-DK" sz="8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10960821678112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36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945945945945943E-2"/>
          <c:y val="0.87671616390416951"/>
          <c:w val="0.91554054054054057"/>
          <c:h val="9.13246803053727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Affald pr. person</a:t>
            </a:r>
          </a:p>
        </c:rich>
      </c:tx>
      <c:layout>
        <c:manualLayout>
          <c:xMode val="edge"/>
          <c:yMode val="edge"/>
          <c:x val="0.42905405405405406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270270270270271"/>
          <c:y val="0.15000033291977299"/>
          <c:w val="0.78378378378378377"/>
          <c:h val="0.627274119482687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'!$A$50</c:f>
              <c:strCache>
                <c:ptCount val="1"/>
                <c:pt idx="0">
                  <c:v>   restaffald og storskrald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'!$C$50:$H$50</c:f>
              <c:numCache>
                <c:formatCode>#,##0</c:formatCode>
                <c:ptCount val="6"/>
                <c:pt idx="0">
                  <c:v>353.06666666666661</c:v>
                </c:pt>
                <c:pt idx="1">
                  <c:v>358.35543766578246</c:v>
                </c:pt>
                <c:pt idx="2">
                  <c:v>336.67546174142484</c:v>
                </c:pt>
                <c:pt idx="3">
                  <c:v>339.37172774869111</c:v>
                </c:pt>
                <c:pt idx="4">
                  <c:v>323.74670184696566</c:v>
                </c:pt>
                <c:pt idx="5">
                  <c:v>312.66490765171505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E8D-9221-07C3898F220D}"/>
            </c:ext>
          </c:extLst>
        </c:ser>
        <c:ser>
          <c:idx val="1"/>
          <c:order val="1"/>
          <c:tx>
            <c:strRef>
              <c:f>'BASIS-X-regneark '!$A$51</c:f>
              <c:strCache>
                <c:ptCount val="1"/>
                <c:pt idx="0">
                  <c:v>   genbrug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'!$C$51:$H$51</c:f>
              <c:numCache>
                <c:formatCode>#,##0</c:formatCode>
                <c:ptCount val="6"/>
                <c:pt idx="0">
                  <c:v>96.8</c:v>
                </c:pt>
                <c:pt idx="1">
                  <c:v>100.79575596816977</c:v>
                </c:pt>
                <c:pt idx="2">
                  <c:v>107.38786279683379</c:v>
                </c:pt>
                <c:pt idx="3">
                  <c:v>122.56544502617801</c:v>
                </c:pt>
                <c:pt idx="4">
                  <c:v>127.17678100263852</c:v>
                </c:pt>
                <c:pt idx="5">
                  <c:v>139.84168865435356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E8D-9221-07C3898F2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075712"/>
        <c:axId val="137081600"/>
      </c:barChart>
      <c:catAx>
        <c:axId val="13707571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8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081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kg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13637318062514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7075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7567567567569"/>
          <c:y val="0.89091099976139343"/>
          <c:w val="0.77027027027027029"/>
          <c:h val="9.545454545454545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</a:t>
            </a:r>
            <a:r>
              <a:rPr lang="da-DK" sz="8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-udslip pr. person</a:t>
            </a:r>
          </a:p>
        </c:rich>
      </c:tx>
      <c:layout>
        <c:manualLayout>
          <c:xMode val="edge"/>
          <c:yMode val="edge"/>
          <c:x val="0.40540540540540543"/>
          <c:y val="5.4545454545454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16216216217"/>
          <c:y val="0.15454579755370551"/>
          <c:w val="0.82094594594594594"/>
          <c:h val="0.61818319021482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'!$A$59</c:f>
              <c:strCache>
                <c:ptCount val="1"/>
                <c:pt idx="0">
                  <c:v>   ved varme-produktion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'!$C$59:$H$59</c:f>
              <c:numCache>
                <c:formatCode>0.0</c:formatCode>
                <c:ptCount val="6"/>
                <c:pt idx="0">
                  <c:v>0.17668224000000002</c:v>
                </c:pt>
                <c:pt idx="1">
                  <c:v>5.144466843501326E-2</c:v>
                </c:pt>
                <c:pt idx="2">
                  <c:v>4.6529857519788914E-2</c:v>
                </c:pt>
                <c:pt idx="3">
                  <c:v>4.5969926701570678E-2</c:v>
                </c:pt>
                <c:pt idx="4">
                  <c:v>4.7379419525065955E-2</c:v>
                </c:pt>
                <c:pt idx="5">
                  <c:v>4.5092137203166231E-2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0000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A20-4AE8-8BA0-8A67ADBFDA01}"/>
            </c:ext>
          </c:extLst>
        </c:ser>
        <c:ser>
          <c:idx val="1"/>
          <c:order val="1"/>
          <c:tx>
            <c:strRef>
              <c:f>'BASIS-X-regneark '!$A$60</c:f>
              <c:strCache>
                <c:ptCount val="1"/>
                <c:pt idx="0">
                  <c:v>   ved el-produktion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'!$C$60:$H$60</c:f>
              <c:numCache>
                <c:formatCode>0.0</c:formatCode>
                <c:ptCount val="6"/>
                <c:pt idx="0">
                  <c:v>0.19251048888888886</c:v>
                </c:pt>
                <c:pt idx="1">
                  <c:v>0.14044446946084191</c:v>
                </c:pt>
                <c:pt idx="2">
                  <c:v>0.11424575852298441</c:v>
                </c:pt>
                <c:pt idx="3">
                  <c:v>0.12723181930319893</c:v>
                </c:pt>
                <c:pt idx="4">
                  <c:v>0.11614119645505112</c:v>
                </c:pt>
                <c:pt idx="5">
                  <c:v>8.498313434186619E-2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20-4AE8-8BA0-8A67ADBF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442048"/>
        <c:axId val="139443584"/>
      </c:barChart>
      <c:catAx>
        <c:axId val="139442048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44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44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ton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18182772607969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9442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972972972972971E-2"/>
          <c:y val="0.87727463612502976"/>
          <c:w val="0.875"/>
          <c:h val="9.090909090909093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Footer>&amp;LBASIS 1.5  1999&amp;RGrønt rengskab for boligområder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Varmeforbrug pr. person</a:t>
            </a:r>
          </a:p>
        </c:rich>
      </c:tx>
      <c:layout>
        <c:manualLayout>
          <c:xMode val="edge"/>
          <c:yMode val="edge"/>
          <c:x val="0.38047279443604903"/>
          <c:y val="5.4054526967912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70039284633135"/>
          <c:y val="0.14864930254655187"/>
          <c:w val="0.76885624290386245"/>
          <c:h val="0.621624356103762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'BASIS-regneark'!$A$27</c:f>
              <c:strCache>
                <c:ptCount val="1"/>
                <c:pt idx="0">
                  <c:v>   rumvarme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'BASIS-regneark'!$C$27:$H$27</c:f>
              <c:numCache>
                <c:formatCode>_ * #,##0_ ;_ * \-#,##0_ ;_ * "-"??_ ;_ @_ </c:formatCode>
                <c:ptCount val="6"/>
                <c:pt idx="0">
                  <c:v>3779.8003278199972</c:v>
                </c:pt>
                <c:pt idx="1">
                  <c:v>3604.0332899229325</c:v>
                </c:pt>
                <c:pt idx="2">
                  <c:v>3161.3430996016746</c:v>
                </c:pt>
                <c:pt idx="3">
                  <c:v>3679.8518262107023</c:v>
                </c:pt>
                <c:pt idx="4">
                  <c:v>3521.5074148502199</c:v>
                </c:pt>
                <c:pt idx="5">
                  <c:v>3550.1727280145797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9-4F68-B44F-F02B70403511}"/>
            </c:ext>
          </c:extLst>
        </c:ser>
        <c:ser>
          <c:idx val="1"/>
          <c:order val="1"/>
          <c:tx>
            <c:strRef>
              <c:f>'BASIS-regneark'!$A$28</c:f>
              <c:strCache>
                <c:ptCount val="1"/>
                <c:pt idx="0">
                  <c:v>   varmt vand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'BASIS-regneark'!$C$28:$H$28</c:f>
              <c:numCache>
                <c:formatCode>_ * #,##0_ ;_ * \-#,##0_ ;_ * "-"??_ ;_ @_ </c:formatCode>
                <c:ptCount val="6"/>
                <c:pt idx="0">
                  <c:v>666.66666666666663</c:v>
                </c:pt>
                <c:pt idx="1">
                  <c:v>647.21485411140588</c:v>
                </c:pt>
                <c:pt idx="2">
                  <c:v>606.86015831134569</c:v>
                </c:pt>
                <c:pt idx="3">
                  <c:v>628.27225130890054</c:v>
                </c:pt>
                <c:pt idx="4">
                  <c:v>620.05277044854881</c:v>
                </c:pt>
                <c:pt idx="5">
                  <c:v>593.66754617414256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9-4F68-B44F-F02B7040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24768"/>
        <c:axId val="136226304"/>
      </c:barChart>
      <c:catAx>
        <c:axId val="136224768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2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26304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kWh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24768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08488206650935"/>
          <c:y val="0.89640017970726638"/>
          <c:w val="0.60606272700760888"/>
          <c:h val="9.00905630039487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Restaffald pr. person</a:t>
            </a:r>
          </a:p>
        </c:rich>
      </c:tx>
      <c:layout>
        <c:manualLayout>
          <c:xMode val="edge"/>
          <c:yMode val="edge"/>
          <c:x val="0.40067481463806925"/>
          <c:y val="4.9773755656108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919822968694"/>
          <c:y val="0.14932126696832579"/>
          <c:w val="0.77441332075087055"/>
          <c:h val="0.619909502262443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'BASIS-regneark'!$A$54</c:f>
              <c:strCache>
                <c:ptCount val="1"/>
                <c:pt idx="0">
                  <c:v>   ved dagrenovation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'BASIS-regneark'!$C$54:$H$54</c:f>
              <c:numCache>
                <c:formatCode>0</c:formatCode>
                <c:ptCount val="6"/>
                <c:pt idx="0">
                  <c:v>308.26666666666665</c:v>
                </c:pt>
                <c:pt idx="1">
                  <c:v>312.9973474801061</c:v>
                </c:pt>
                <c:pt idx="2">
                  <c:v>282.32189973614777</c:v>
                </c:pt>
                <c:pt idx="3">
                  <c:v>285.34031413612564</c:v>
                </c:pt>
                <c:pt idx="4">
                  <c:v>261.2137203166227</c:v>
                </c:pt>
                <c:pt idx="5">
                  <c:v>250.65963060686016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5-45D7-9DD8-3ECB943C88F0}"/>
            </c:ext>
          </c:extLst>
        </c:ser>
        <c:ser>
          <c:idx val="1"/>
          <c:order val="1"/>
          <c:tx>
            <c:strRef>
              <c:f>'BASIS-regneark'!$A$55</c:f>
              <c:strCache>
                <c:ptCount val="1"/>
                <c:pt idx="0">
                  <c:v>   ved storskrald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'BASIS-regneark'!$C$55:$H$55</c:f>
              <c:numCache>
                <c:formatCode>0</c:formatCode>
                <c:ptCount val="6"/>
                <c:pt idx="0">
                  <c:v>44.79999999999999</c:v>
                </c:pt>
                <c:pt idx="1">
                  <c:v>45.358090185676396</c:v>
                </c:pt>
                <c:pt idx="2">
                  <c:v>54.353562005277048</c:v>
                </c:pt>
                <c:pt idx="3">
                  <c:v>54.031413612565444</c:v>
                </c:pt>
                <c:pt idx="4">
                  <c:v>62.532981530343008</c:v>
                </c:pt>
                <c:pt idx="5">
                  <c:v>62.005277044854878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5-45D7-9DD8-3ECB943C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44832"/>
        <c:axId val="135946624"/>
      </c:barChart>
      <c:catAx>
        <c:axId val="13594483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4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946624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kg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16289592760181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594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91989890152619"/>
          <c:y val="0.90497737556561086"/>
          <c:w val="0.75421122864692425"/>
          <c:h val="8.14479638009050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</a:t>
            </a:r>
            <a:r>
              <a:rPr lang="da-DK" sz="8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pr. person</a:t>
            </a:r>
          </a:p>
        </c:rich>
      </c:tx>
      <c:layout>
        <c:manualLayout>
          <c:xMode val="edge"/>
          <c:yMode val="edge"/>
          <c:x val="0.46128087524412986"/>
          <c:y val="4.5662100456621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8187796545522"/>
          <c:y val="0.14611937303516087"/>
          <c:w val="0.78674177326857431"/>
          <c:h val="0.62100733539943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'BASIS-regneark'!$A$62</c:f>
              <c:strCache>
                <c:ptCount val="1"/>
                <c:pt idx="0">
                  <c:v>   ved varme-produktion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'BASIS-regneark'!$C$62:$H$62</c:f>
              <c:numCache>
                <c:formatCode>0.0</c:formatCode>
                <c:ptCount val="6"/>
                <c:pt idx="0">
                  <c:v>0.17668224000000002</c:v>
                </c:pt>
                <c:pt idx="1">
                  <c:v>5.144466843501326E-2</c:v>
                </c:pt>
                <c:pt idx="2">
                  <c:v>4.6529857519788914E-2</c:v>
                </c:pt>
                <c:pt idx="3">
                  <c:v>4.5969926701570678E-2</c:v>
                </c:pt>
                <c:pt idx="4">
                  <c:v>4.7379419525065955E-2</c:v>
                </c:pt>
                <c:pt idx="5">
                  <c:v>4.5092137203166231E-2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6-4E7D-8BEF-A6707380F869}"/>
            </c:ext>
          </c:extLst>
        </c:ser>
        <c:ser>
          <c:idx val="1"/>
          <c:order val="1"/>
          <c:tx>
            <c:strRef>
              <c:f>'BASIS-regneark'!$A$63</c:f>
              <c:strCache>
                <c:ptCount val="1"/>
                <c:pt idx="0">
                  <c:v>   ved el-produktion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'BASIS-regneark'!$C$63:$H$63</c:f>
              <c:numCache>
                <c:formatCode>0.0</c:formatCode>
                <c:ptCount val="6"/>
                <c:pt idx="0">
                  <c:v>0.19251048888888886</c:v>
                </c:pt>
                <c:pt idx="1">
                  <c:v>0.14044446946084191</c:v>
                </c:pt>
                <c:pt idx="2">
                  <c:v>0.11424575852298441</c:v>
                </c:pt>
                <c:pt idx="3">
                  <c:v>0.12723181930319893</c:v>
                </c:pt>
                <c:pt idx="4">
                  <c:v>0.11614119645505112</c:v>
                </c:pt>
                <c:pt idx="5">
                  <c:v>8.498313434186619E-2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6-4E7D-8BEF-A6707380F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59072"/>
        <c:axId val="136260608"/>
      </c:barChart>
      <c:catAx>
        <c:axId val="13625907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6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6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ton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200932417694363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5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973417464231117E-2"/>
          <c:y val="0.86758374381284531"/>
          <c:w val="0.87879070671721593"/>
          <c:h val="9.58908903510349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Vandforbrug pr. person</a:t>
            </a:r>
          </a:p>
        </c:rich>
      </c:tx>
      <c:layout>
        <c:manualLayout>
          <c:xMode val="edge"/>
          <c:yMode val="edge"/>
          <c:x val="0.36824324324324326"/>
          <c:y val="0.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54054054054054"/>
          <c:y val="0.15454579755370551"/>
          <c:w val="0.81190195242039032"/>
          <c:h val="0.613637725580889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'BASIS-regneark'!$A$44</c:f>
              <c:strCache>
                <c:ptCount val="1"/>
                <c:pt idx="0">
                  <c:v>   koldt vand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'BASIS-regneark'!$C$44:$H$44</c:f>
              <c:numCache>
                <c:formatCode>0</c:formatCode>
                <c:ptCount val="6"/>
                <c:pt idx="0">
                  <c:v>22.310303030303029</c:v>
                </c:pt>
                <c:pt idx="1">
                  <c:v>20.029418857005062</c:v>
                </c:pt>
                <c:pt idx="2">
                  <c:v>22.305588870232672</c:v>
                </c:pt>
                <c:pt idx="3">
                  <c:v>21.405521180390291</c:v>
                </c:pt>
                <c:pt idx="4">
                  <c:v>21.540417366274887</c:v>
                </c:pt>
                <c:pt idx="5">
                  <c:v>21.751499160470136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0-428F-9500-746C5EF49448}"/>
            </c:ext>
          </c:extLst>
        </c:ser>
        <c:ser>
          <c:idx val="1"/>
          <c:order val="1"/>
          <c:tx>
            <c:strRef>
              <c:f>'BASIS-regneark'!$A$45</c:f>
              <c:strCache>
                <c:ptCount val="1"/>
                <c:pt idx="0">
                  <c:v>   varmt vand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'BASIS-regneark'!$C$45:$H$45</c:f>
              <c:numCache>
                <c:formatCode>0</c:formatCode>
                <c:ptCount val="6"/>
                <c:pt idx="0">
                  <c:v>15.636363636363637</c:v>
                </c:pt>
                <c:pt idx="1">
                  <c:v>15.636363636363637</c:v>
                </c:pt>
                <c:pt idx="2">
                  <c:v>15.636363636363637</c:v>
                </c:pt>
                <c:pt idx="3">
                  <c:v>15.636363636363637</c:v>
                </c:pt>
                <c:pt idx="4">
                  <c:v>15.636363636363637</c:v>
                </c:pt>
                <c:pt idx="5">
                  <c:v>15.636363636363637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50-428F-9500-746C5EF49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94784"/>
        <c:axId val="136296320"/>
      </c:barChart>
      <c:catAx>
        <c:axId val="136294784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96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96320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a-DK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da-DK" sz="800" b="0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6891891891891893E-2"/>
              <c:y val="0.400000954426151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94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7297297297297"/>
          <c:y val="0.90454736339775699"/>
          <c:w val="0.67567567567567566"/>
          <c:h val="8.1818181818181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Elforbrug pr. person</a:t>
            </a:r>
          </a:p>
        </c:rich>
      </c:tx>
      <c:layout>
        <c:manualLayout>
          <c:xMode val="edge"/>
          <c:yMode val="edge"/>
          <c:x val="0.40939667776427274"/>
          <c:y val="5.4298642533936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34261178463811"/>
          <c:y val="0.15384615384615385"/>
          <c:w val="0.76510192478162486"/>
          <c:h val="0.615384615384615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'BASIS-regneark'!$A$36</c:f>
              <c:strCache>
                <c:ptCount val="1"/>
                <c:pt idx="0">
                  <c:v>   privat elforbrug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'BASIS-regneark'!$C$36:$H$36</c:f>
              <c:numCache>
                <c:formatCode>0</c:formatCode>
                <c:ptCount val="6"/>
                <c:pt idx="0">
                  <c:v>213.46666666666667</c:v>
                </c:pt>
                <c:pt idx="1">
                  <c:v>214.85411140583554</c:v>
                </c:pt>
                <c:pt idx="2">
                  <c:v>203.16622691292875</c:v>
                </c:pt>
                <c:pt idx="3">
                  <c:v>198.95287958115182</c:v>
                </c:pt>
                <c:pt idx="4">
                  <c:v>199.47229551451187</c:v>
                </c:pt>
                <c:pt idx="5">
                  <c:v>198.15303430079155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96E-95B3-210B1A94BA54}"/>
            </c:ext>
          </c:extLst>
        </c:ser>
        <c:ser>
          <c:idx val="1"/>
          <c:order val="1"/>
          <c:tx>
            <c:strRef>
              <c:f>'BASIS-regneark'!$A$37</c:f>
              <c:strCache>
                <c:ptCount val="1"/>
                <c:pt idx="0">
                  <c:v>   fælles elforbrug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'BASIS-regneark'!$C$37:$H$37</c:f>
              <c:numCache>
                <c:formatCode>0</c:formatCode>
                <c:ptCount val="6"/>
                <c:pt idx="0">
                  <c:v>741.33333333333337</c:v>
                </c:pt>
                <c:pt idx="1">
                  <c:v>729.44297082228115</c:v>
                </c:pt>
                <c:pt idx="2">
                  <c:v>712.40105540897093</c:v>
                </c:pt>
                <c:pt idx="3">
                  <c:v>738.21989528795814</c:v>
                </c:pt>
                <c:pt idx="4">
                  <c:v>738.7862796833773</c:v>
                </c:pt>
                <c:pt idx="5">
                  <c:v>688.65435356200533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9-496E-95B3-210B1A94B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313856"/>
        <c:axId val="136594176"/>
      </c:barChart>
      <c:catAx>
        <c:axId val="136313856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59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94176"/>
        <c:scaling>
          <c:orientation val="minMax"/>
          <c:max val="1200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kWh</a:t>
                </a:r>
              </a:p>
            </c:rich>
          </c:tx>
          <c:layout>
            <c:manualLayout>
              <c:xMode val="edge"/>
              <c:yMode val="edge"/>
              <c:x val="3.6206658378229038E-3"/>
              <c:y val="0.416289713872754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31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07417780831085"/>
          <c:y val="0.9095022624434389"/>
          <c:w val="0.77852489915270651"/>
          <c:h val="7.69230769230768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</a:t>
            </a:r>
            <a:r>
              <a:rPr lang="da-DK" sz="800" b="1" i="0" u="none" strike="noStrike" baseline="-25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pr. 100 m</a:t>
            </a:r>
            <a:r>
              <a:rPr lang="da-DK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46128087524412986"/>
          <c:y val="4.5662100456621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8187796545522"/>
          <c:y val="0.14611937303516087"/>
          <c:w val="0.78674177326857431"/>
          <c:h val="0.621007335399433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'BASIS-regneark'!$A$65</c:f>
              <c:strCache>
                <c:ptCount val="1"/>
                <c:pt idx="0">
                  <c:v>   ved varme-produktion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'BASIS-regneark'!$C$65:$H$65</c:f>
              <c:numCache>
                <c:formatCode>0.0</c:formatCode>
                <c:ptCount val="6"/>
                <c:pt idx="0">
                  <c:v>0.44467006711409401</c:v>
                </c:pt>
                <c:pt idx="1">
                  <c:v>0.13016536912751678</c:v>
                </c:pt>
                <c:pt idx="2">
                  <c:v>0.11835446979865771</c:v>
                </c:pt>
                <c:pt idx="3">
                  <c:v>0.11785578523489933</c:v>
                </c:pt>
                <c:pt idx="4">
                  <c:v>0.12051543624161072</c:v>
                </c:pt>
                <c:pt idx="5">
                  <c:v>0.11469744966442955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9-444F-9D4E-5BD716BF0835}"/>
            </c:ext>
          </c:extLst>
        </c:ser>
        <c:ser>
          <c:idx val="1"/>
          <c:order val="1"/>
          <c:tx>
            <c:strRef>
              <c:f>'BASIS-regneark'!$A$66</c:f>
              <c:strCache>
                <c:ptCount val="1"/>
                <c:pt idx="0">
                  <c:v>   ved el-produktion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'BASIS-regneark'!$C$8:$H$8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'BASIS-regneark'!$C$66:$H$66</c:f>
              <c:numCache>
                <c:formatCode>0.0</c:formatCode>
                <c:ptCount val="6"/>
                <c:pt idx="0">
                  <c:v>0.48450626398210284</c:v>
                </c:pt>
                <c:pt idx="1">
                  <c:v>0.35535278514588858</c:v>
                </c:pt>
                <c:pt idx="2">
                  <c:v>0.29059827167926905</c:v>
                </c:pt>
                <c:pt idx="3">
                  <c:v>0.32619164411961066</c:v>
                </c:pt>
                <c:pt idx="4">
                  <c:v>0.29541955339908976</c:v>
                </c:pt>
                <c:pt idx="5">
                  <c:v>0.21616515379575357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9-444F-9D4E-5BD716BF0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59072"/>
        <c:axId val="136260608"/>
      </c:barChart>
      <c:catAx>
        <c:axId val="13625907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6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26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ton</a:t>
                </a:r>
              </a:p>
            </c:rich>
          </c:tx>
          <c:layout>
            <c:manualLayout>
              <c:xMode val="edge"/>
              <c:yMode val="edge"/>
              <c:x val="1.6835016835016835E-2"/>
              <c:y val="0.4200932417694363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625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97348235286085E-2"/>
          <c:y val="0.87368236053381698"/>
          <c:w val="0.8506347781263548"/>
          <c:h val="0.120219235231297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Varmeforbrug pr. 100 m</a:t>
            </a:r>
            <a:r>
              <a:rPr lang="da-DK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7627189821611279"/>
          <c:y val="5.1162790697674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83082268078436"/>
          <c:y val="0.15348837209302327"/>
          <c:w val="0.79661148803543436"/>
          <c:h val="0.62325581395348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'!$A$19</c:f>
              <c:strCache>
                <c:ptCount val="1"/>
                <c:pt idx="0">
                  <c:v>   fossile brændsler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'!$C$19:$H$19</c:f>
              <c:numCache>
                <c:formatCode>#,##0.0</c:formatCode>
                <c:ptCount val="6"/>
                <c:pt idx="0">
                  <c:v>111.90772637130866</c:v>
                </c:pt>
                <c:pt idx="1">
                  <c:v>89.779902704761454</c:v>
                </c:pt>
                <c:pt idx="2">
                  <c:v>76.520069446243937</c:v>
                </c:pt>
                <c:pt idx="3">
                  <c:v>92.664657557885121</c:v>
                </c:pt>
                <c:pt idx="4">
                  <c:v>85.010155048874722</c:v>
                </c:pt>
                <c:pt idx="5">
                  <c:v>85.537950598491662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E-48F7-A807-29B303B55A1C}"/>
            </c:ext>
          </c:extLst>
        </c:ser>
        <c:ser>
          <c:idx val="1"/>
          <c:order val="1"/>
          <c:tx>
            <c:strRef>
              <c:f>'BASIS-X-regneark '!$A$20</c:f>
              <c:strCache>
                <c:ptCount val="1"/>
                <c:pt idx="0">
                  <c:v>   vedvarende energi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'!$C$20:$H$20</c:f>
              <c:numCache>
                <c:formatCode>#,##0.0</c:formatCode>
                <c:ptCount val="6"/>
                <c:pt idx="0">
                  <c:v>0</c:v>
                </c:pt>
                <c:pt idx="1">
                  <c:v>17.785234899328859</c:v>
                </c:pt>
                <c:pt idx="2">
                  <c:v>19.328859060402682</c:v>
                </c:pt>
                <c:pt idx="3">
                  <c:v>17.785234899328859</c:v>
                </c:pt>
                <c:pt idx="4">
                  <c:v>20.335570469798657</c:v>
                </c:pt>
                <c:pt idx="5">
                  <c:v>19.865771812080535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E-48F7-A807-29B303B55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46272"/>
        <c:axId val="133047808"/>
      </c:barChart>
      <c:catAx>
        <c:axId val="133046272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4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047808"/>
        <c:scaling>
          <c:orientation val="minMax"/>
          <c:max val="15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kWh</a:t>
                </a:r>
              </a:p>
            </c:rich>
          </c:tx>
          <c:layout>
            <c:manualLayout>
              <c:xMode val="edge"/>
              <c:yMode val="edge"/>
              <c:x val="3.6893896550224039E-3"/>
              <c:y val="0.455190128672940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46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881391520975133"/>
          <c:y val="0.89302325581395348"/>
          <c:w val="0.82373023711019178"/>
          <c:h val="9.302325581395354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Varmeforbrug pr. person</a:t>
            </a:r>
          </a:p>
        </c:rich>
      </c:tx>
      <c:layout>
        <c:manualLayout>
          <c:xMode val="edge"/>
          <c:yMode val="edge"/>
          <c:x val="0.34576342363984158"/>
          <c:y val="5.0925925925925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03175708008875"/>
          <c:y val="0.15277846850797755"/>
          <c:w val="0.80502057684778339"/>
          <c:h val="0.62037317515360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'BASIS-X-regneark '!$A$22</c:f>
              <c:strCache>
                <c:ptCount val="1"/>
                <c:pt idx="0">
                  <c:v>   fossile brændsler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'!$C$22:$H$22</c:f>
              <c:numCache>
                <c:formatCode>_ * #,##0_ ;_ * \-#,##0_ ;_ * "-"??_ ;_ @_ </c:formatCode>
                <c:ptCount val="6"/>
                <c:pt idx="0">
                  <c:v>4446.4669944866637</c:v>
                </c:pt>
                <c:pt idx="1">
                  <c:v>3548.3303721510497</c:v>
                </c:pt>
                <c:pt idx="2">
                  <c:v>3008.3087988101174</c:v>
                </c:pt>
                <c:pt idx="3">
                  <c:v>3614.406800032692</c:v>
                </c:pt>
                <c:pt idx="4">
                  <c:v>3342.0878897842567</c:v>
                </c:pt>
                <c:pt idx="5">
                  <c:v>3362.8376356662948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A-4607-870B-21A28881F4C2}"/>
            </c:ext>
          </c:extLst>
        </c:ser>
        <c:ser>
          <c:idx val="1"/>
          <c:order val="1"/>
          <c:tx>
            <c:strRef>
              <c:f>'BASIS-X-regneark '!$A$23</c:f>
              <c:strCache>
                <c:ptCount val="1"/>
                <c:pt idx="0">
                  <c:v>   vedvarende energi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'BASIS-X-regneark '!$C$7:$H$7</c:f>
              <c:numCache>
                <c:formatCode>#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'BASIS-X-regneark '!$C$23:$H$23</c:f>
              <c:numCache>
                <c:formatCode>_ * #,##0_ ;_ * \-#,##0_ ;_ * "-"??_ ;_ @_ </c:formatCode>
                <c:ptCount val="6"/>
                <c:pt idx="0">
                  <c:v>0</c:v>
                </c:pt>
                <c:pt idx="1">
                  <c:v>702.91777188328911</c:v>
                </c:pt>
                <c:pt idx="2">
                  <c:v>759.89445910290237</c:v>
                </c:pt>
                <c:pt idx="3">
                  <c:v>693.71727748691103</c:v>
                </c:pt>
                <c:pt idx="4">
                  <c:v>799.47229551451187</c:v>
                </c:pt>
                <c:pt idx="5">
                  <c:v>781.00263852242745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AA-4607-870B-21A28881F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085824"/>
        <c:axId val="133087616"/>
      </c:barChart>
      <c:catAx>
        <c:axId val="133085824"/>
        <c:scaling>
          <c:orientation val="minMax"/>
        </c:scaling>
        <c:delete val="0"/>
        <c:axPos val="b"/>
        <c:numFmt formatCode="#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8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3087616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kWh</a:t>
                </a:r>
              </a:p>
            </c:rich>
          </c:tx>
          <c:layout>
            <c:manualLayout>
              <c:xMode val="edge"/>
              <c:yMode val="edge"/>
              <c:x val="3.6893896550224039E-3"/>
              <c:y val="0.450506800286327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33085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47493215890387"/>
          <c:y val="0.90278166618061628"/>
          <c:w val="0.87796752524578481"/>
          <c:h val="8.33338193836881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0" dropStyle="combo" dx="15" fmlaLink="$D$14" fmlaRange="'CO2-fjernvarme'!$C$7:$C$374" noThreeD="1" sel="172" val="162"/>
</file>

<file path=xl/ctrlProps/ctrlProp10.xml><?xml version="1.0" encoding="utf-8"?>
<formControlPr xmlns="http://schemas.microsoft.com/office/spreadsheetml/2009/9/main" objectType="Drop" dropLines="5" dropStyle="combo" dx="15" fmlaLink="I11" fmlaRange="'Graddage mv.'!$B$7:$B$25" noThreeD="1" sel="16" val="11"/>
</file>

<file path=xl/ctrlProps/ctrlProp11.xml><?xml version="1.0" encoding="utf-8"?>
<formControlPr xmlns="http://schemas.microsoft.com/office/spreadsheetml/2009/9/main" objectType="Drop" dropLines="9" dropStyle="combo" dx="15" fmlaLink="$I$17" fmlaRange="'Graddage mv.'!$V$10:$V$15" noThreeD="1" sel="6" val="0"/>
</file>

<file path=xl/ctrlProps/ctrlProp2.xml><?xml version="1.0" encoding="utf-8"?>
<formControlPr xmlns="http://schemas.microsoft.com/office/spreadsheetml/2009/9/main" objectType="Drop" dropLines="10" dropStyle="combo" dx="15" fmlaLink="$D$32" fmlaRange="'Graddage mv.'!$B$7:$B$25" noThreeD="1" sel="3" val="0"/>
</file>

<file path=xl/ctrlProps/ctrlProp3.xml><?xml version="1.0" encoding="utf-8"?>
<formControlPr xmlns="http://schemas.microsoft.com/office/spreadsheetml/2009/9/main" objectType="Drop" dropLines="10" dropStyle="combo" dx="15" fmlaLink="$E$32" fmlaRange="'Graddage mv.'!$B$7:$B$25" noThreeD="1" sel="4" val="0"/>
</file>

<file path=xl/ctrlProps/ctrlProp4.xml><?xml version="1.0" encoding="utf-8"?>
<formControlPr xmlns="http://schemas.microsoft.com/office/spreadsheetml/2009/9/main" objectType="Drop" dropLines="10" dropStyle="combo" dx="15" fmlaLink="F$32" fmlaRange="'Graddage mv.'!$B$7:$B$25" noThreeD="1" sel="5" val="0"/>
</file>

<file path=xl/ctrlProps/ctrlProp5.xml><?xml version="1.0" encoding="utf-8"?>
<formControlPr xmlns="http://schemas.microsoft.com/office/spreadsheetml/2009/9/main" objectType="Drop" dropLines="10" dropStyle="combo" dx="15" fmlaLink="G$32" fmlaRange="'Graddage mv.'!$B$7:$B$25" noThreeD="1" sel="6" val="2"/>
</file>

<file path=xl/ctrlProps/ctrlProp6.xml><?xml version="1.0" encoding="utf-8"?>
<formControlPr xmlns="http://schemas.microsoft.com/office/spreadsheetml/2009/9/main" objectType="Drop" dropLines="10" dropStyle="combo" dx="15" fmlaLink="H$32" fmlaRange="'Graddage mv.'!$B$7:$B$25" noThreeD="1" sel="7" val="0"/>
</file>

<file path=xl/ctrlProps/ctrlProp7.xml><?xml version="1.0" encoding="utf-8"?>
<formControlPr xmlns="http://schemas.microsoft.com/office/spreadsheetml/2009/9/main" objectType="Drop" dropLines="10" dropStyle="combo" dx="15" fmlaLink="I$32" fmlaRange="'Graddage mv.'!$B$7:$B$25" noThreeD="1" sel="8" val="4"/>
</file>

<file path=xl/ctrlProps/ctrlProp8.xml><?xml version="1.0" encoding="utf-8"?>
<formControlPr xmlns="http://schemas.microsoft.com/office/spreadsheetml/2009/9/main" objectType="Drop" dropStyle="combo" dx="15" fmlaLink="Indtastningsark!I15" fmlaRange="'Graddage mv.'!$V$18:$V$24" sel="1" val="0"/>
</file>

<file path=xl/ctrlProps/ctrlProp9.xml><?xml version="1.0" encoding="utf-8"?>
<formControlPr xmlns="http://schemas.microsoft.com/office/spreadsheetml/2009/9/main" objectType="Drop" dropStyle="combo" dx="15" fmlaLink="Indtastningsark!$I$13" fmlaRange="'Graddage mv.'!$V$6:$V$7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114300</xdr:rowOff>
    </xdr:from>
    <xdr:to>
      <xdr:col>9</xdr:col>
      <xdr:colOff>247651</xdr:colOff>
      <xdr:row>60</xdr:row>
      <xdr:rowOff>114300</xdr:rowOff>
    </xdr:to>
    <xdr:sp macro="" textlink="">
      <xdr:nvSpPr>
        <xdr:cNvPr id="430289" name="Rectangle 3">
          <a:extLst>
            <a:ext uri="{FF2B5EF4-FFF2-40B4-BE49-F238E27FC236}">
              <a16:creationId xmlns:a16="http://schemas.microsoft.com/office/drawing/2014/main" id="{00000000-0008-0000-0000-0000D1900600}"/>
            </a:ext>
          </a:extLst>
        </xdr:cNvPr>
        <xdr:cNvSpPr>
          <a:spLocks noChangeArrowheads="1"/>
        </xdr:cNvSpPr>
      </xdr:nvSpPr>
      <xdr:spPr bwMode="auto">
        <a:xfrm>
          <a:off x="9525" y="5448300"/>
          <a:ext cx="7369176" cy="5035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581025</xdr:colOff>
      <xdr:row>3</xdr:row>
      <xdr:rowOff>104775</xdr:rowOff>
    </xdr:from>
    <xdr:to>
      <xdr:col>5</xdr:col>
      <xdr:colOff>657225</xdr:colOff>
      <xdr:row>4</xdr:row>
      <xdr:rowOff>76200</xdr:rowOff>
    </xdr:to>
    <xdr:sp macro="" textlink="">
      <xdr:nvSpPr>
        <xdr:cNvPr id="430291" name="Tekst 8">
          <a:extLst>
            <a:ext uri="{FF2B5EF4-FFF2-40B4-BE49-F238E27FC236}">
              <a16:creationId xmlns:a16="http://schemas.microsoft.com/office/drawing/2014/main" id="{00000000-0008-0000-0000-0000D3900600}"/>
            </a:ext>
          </a:extLst>
        </xdr:cNvPr>
        <xdr:cNvSpPr txBox="1">
          <a:spLocks noChangeArrowheads="1"/>
        </xdr:cNvSpPr>
      </xdr:nvSpPr>
      <xdr:spPr bwMode="auto">
        <a:xfrm>
          <a:off x="4419600" y="1276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54</xdr:row>
      <xdr:rowOff>0</xdr:rowOff>
    </xdr:from>
    <xdr:to>
      <xdr:col>2</xdr:col>
      <xdr:colOff>546734</xdr:colOff>
      <xdr:row>55</xdr:row>
      <xdr:rowOff>30040</xdr:rowOff>
    </xdr:to>
    <xdr:sp macro="" textlink="">
      <xdr:nvSpPr>
        <xdr:cNvPr id="430292" name="Tekst 21">
          <a:extLst>
            <a:ext uri="{FF2B5EF4-FFF2-40B4-BE49-F238E27FC236}">
              <a16:creationId xmlns:a16="http://schemas.microsoft.com/office/drawing/2014/main" id="{00000000-0008-0000-0000-0000D4900600}"/>
            </a:ext>
          </a:extLst>
        </xdr:cNvPr>
        <xdr:cNvSpPr txBox="1">
          <a:spLocks noChangeArrowheads="1"/>
        </xdr:cNvSpPr>
      </xdr:nvSpPr>
      <xdr:spPr bwMode="auto">
        <a:xfrm>
          <a:off x="7667625" y="929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137160</xdr:rowOff>
        </xdr:from>
        <xdr:to>
          <xdr:col>5</xdr:col>
          <xdr:colOff>792480</xdr:colOff>
          <xdr:row>14</xdr:row>
          <xdr:rowOff>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104775</xdr:colOff>
      <xdr:row>62</xdr:row>
      <xdr:rowOff>0</xdr:rowOff>
    </xdr:from>
    <xdr:to>
      <xdr:col>9</xdr:col>
      <xdr:colOff>9525</xdr:colOff>
      <xdr:row>66</xdr:row>
      <xdr:rowOff>0</xdr:rowOff>
    </xdr:to>
    <xdr:sp macro="" textlink="">
      <xdr:nvSpPr>
        <xdr:cNvPr id="1075" name="Tekst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104775" y="10629900"/>
          <a:ext cx="6638925" cy="723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Efter endt indtastning vil det grønne regnskab umiddelbart fremgå af det efterfølgende BASIS-regneark. De tilhørende diagrammer findes på arket: BASIS-diagrammer. Ved brug af vedvarende energikilder, natur-strøm, regnvand til toiletter mv. samt ved kilde-sortering af affald til genbrug bringes også Indtastningsark-X i anvendelse. Se herefter BASIS-X-diagrammer, hvor alternative bidrag bliver vist med grønt.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152400</xdr:rowOff>
        </xdr:from>
        <xdr:to>
          <xdr:col>4</xdr:col>
          <xdr:colOff>7620</xdr:colOff>
          <xdr:row>33</xdr:row>
          <xdr:rowOff>30480</xdr:rowOff>
        </xdr:to>
        <xdr:sp macro="" textlink="">
          <xdr:nvSpPr>
            <xdr:cNvPr id="1102" name="Drop Dow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31</xdr:row>
          <xdr:rowOff>152400</xdr:rowOff>
        </xdr:from>
        <xdr:to>
          <xdr:col>5</xdr:col>
          <xdr:colOff>7620</xdr:colOff>
          <xdr:row>33</xdr:row>
          <xdr:rowOff>30480</xdr:rowOff>
        </xdr:to>
        <xdr:sp macro="" textlink="">
          <xdr:nvSpPr>
            <xdr:cNvPr id="1103" name="Drop Dow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31</xdr:row>
          <xdr:rowOff>152400</xdr:rowOff>
        </xdr:from>
        <xdr:to>
          <xdr:col>6</xdr:col>
          <xdr:colOff>0</xdr:colOff>
          <xdr:row>33</xdr:row>
          <xdr:rowOff>30480</xdr:rowOff>
        </xdr:to>
        <xdr:sp macro="" textlink="">
          <xdr:nvSpPr>
            <xdr:cNvPr id="1104" name="Drop Dow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31</xdr:row>
          <xdr:rowOff>152400</xdr:rowOff>
        </xdr:from>
        <xdr:to>
          <xdr:col>7</xdr:col>
          <xdr:colOff>22860</xdr:colOff>
          <xdr:row>33</xdr:row>
          <xdr:rowOff>30480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152400</xdr:rowOff>
        </xdr:from>
        <xdr:to>
          <xdr:col>7</xdr:col>
          <xdr:colOff>899160</xdr:colOff>
          <xdr:row>33</xdr:row>
          <xdr:rowOff>30480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137160</xdr:rowOff>
        </xdr:from>
        <xdr:to>
          <xdr:col>9</xdr:col>
          <xdr:colOff>7620</xdr:colOff>
          <xdr:row>33</xdr:row>
          <xdr:rowOff>15240</xdr:rowOff>
        </xdr:to>
        <xdr:sp macro="" textlink="">
          <xdr:nvSpPr>
            <xdr:cNvPr id="1107" name="Drop Dow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441960</xdr:colOff>
          <xdr:row>14</xdr:row>
          <xdr:rowOff>99060</xdr:rowOff>
        </xdr:from>
        <xdr:to>
          <xdr:col>9</xdr:col>
          <xdr:colOff>60960</xdr:colOff>
          <xdr:row>16</xdr:row>
          <xdr:rowOff>0</xdr:rowOff>
        </xdr:to>
        <xdr:sp macro="" textlink="">
          <xdr:nvSpPr>
            <xdr:cNvPr id="1123" name="Drop Dow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12</xdr:row>
          <xdr:rowOff>121920</xdr:rowOff>
        </xdr:from>
        <xdr:to>
          <xdr:col>9</xdr:col>
          <xdr:colOff>60960</xdr:colOff>
          <xdr:row>13</xdr:row>
          <xdr:rowOff>160020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11</xdr:row>
          <xdr:rowOff>0</xdr:rowOff>
        </xdr:from>
        <xdr:to>
          <xdr:col>9</xdr:col>
          <xdr:colOff>45720</xdr:colOff>
          <xdr:row>12</xdr:row>
          <xdr:rowOff>22860</xdr:rowOff>
        </xdr:to>
        <xdr:sp macro="" textlink="">
          <xdr:nvSpPr>
            <xdr:cNvPr id="1158" name="Drop Dow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99060</xdr:rowOff>
        </xdr:from>
        <xdr:to>
          <xdr:col>9</xdr:col>
          <xdr:colOff>68580</xdr:colOff>
          <xdr:row>18</xdr:row>
          <xdr:rowOff>0</xdr:rowOff>
        </xdr:to>
        <xdr:sp macro="" textlink="">
          <xdr:nvSpPr>
            <xdr:cNvPr id="1162" name="Drop Dow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228600</xdr:colOff>
      <xdr:row>0</xdr:row>
      <xdr:rowOff>0</xdr:rowOff>
    </xdr:from>
    <xdr:to>
      <xdr:col>10</xdr:col>
      <xdr:colOff>6992</xdr:colOff>
      <xdr:row>1</xdr:row>
      <xdr:rowOff>283313</xdr:rowOff>
    </xdr:to>
    <xdr:pic>
      <xdr:nvPicPr>
        <xdr:cNvPr id="18" name="Billed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0"/>
          <a:ext cx="807092" cy="588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214516</xdr:colOff>
      <xdr:row>0</xdr:row>
      <xdr:rowOff>14654</xdr:rowOff>
    </xdr:from>
    <xdr:to>
      <xdr:col>8</xdr:col>
      <xdr:colOff>4061</xdr:colOff>
      <xdr:row>1</xdr:row>
      <xdr:rowOff>131884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4862" y="14654"/>
          <a:ext cx="844622" cy="615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152400</xdr:rowOff>
    </xdr:from>
    <xdr:to>
      <xdr:col>5</xdr:col>
      <xdr:colOff>514350</xdr:colOff>
      <xdr:row>18</xdr:row>
      <xdr:rowOff>0</xdr:rowOff>
    </xdr:to>
    <xdr:graphicFrame macro="">
      <xdr:nvGraphicFramePr>
        <xdr:cNvPr id="3353" name="Diagram 13">
          <a:extLst>
            <a:ext uri="{FF2B5EF4-FFF2-40B4-BE49-F238E27FC236}">
              <a16:creationId xmlns:a16="http://schemas.microsoft.com/office/drawing/2014/main" id="{00000000-0008-0000-0200-000019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4</xdr:row>
      <xdr:rowOff>152400</xdr:rowOff>
    </xdr:from>
    <xdr:to>
      <xdr:col>11</xdr:col>
      <xdr:colOff>0</xdr:colOff>
      <xdr:row>18</xdr:row>
      <xdr:rowOff>0</xdr:rowOff>
    </xdr:to>
    <xdr:graphicFrame macro="">
      <xdr:nvGraphicFramePr>
        <xdr:cNvPr id="3354" name="Diagram 15">
          <a:extLst>
            <a:ext uri="{FF2B5EF4-FFF2-40B4-BE49-F238E27FC236}">
              <a16:creationId xmlns:a16="http://schemas.microsoft.com/office/drawing/2014/main" id="{00000000-0008-0000-0200-00001A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0</xdr:rowOff>
    </xdr:from>
    <xdr:to>
      <xdr:col>5</xdr:col>
      <xdr:colOff>514350</xdr:colOff>
      <xdr:row>48</xdr:row>
      <xdr:rowOff>0</xdr:rowOff>
    </xdr:to>
    <xdr:graphicFrame macro="">
      <xdr:nvGraphicFramePr>
        <xdr:cNvPr id="3355" name="Diagram 19">
          <a:extLst>
            <a:ext uri="{FF2B5EF4-FFF2-40B4-BE49-F238E27FC236}">
              <a16:creationId xmlns:a16="http://schemas.microsoft.com/office/drawing/2014/main" id="{00000000-0008-0000-0200-00001B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66675</xdr:colOff>
      <xdr:row>35</xdr:row>
      <xdr:rowOff>9525</xdr:rowOff>
    </xdr:from>
    <xdr:to>
      <xdr:col>10</xdr:col>
      <xdr:colOff>571500</xdr:colOff>
      <xdr:row>47</xdr:row>
      <xdr:rowOff>152400</xdr:rowOff>
    </xdr:to>
    <xdr:graphicFrame macro="">
      <xdr:nvGraphicFramePr>
        <xdr:cNvPr id="3356" name="Diagram 20">
          <a:extLst>
            <a:ext uri="{FF2B5EF4-FFF2-40B4-BE49-F238E27FC236}">
              <a16:creationId xmlns:a16="http://schemas.microsoft.com/office/drawing/2014/main" id="{00000000-0008-0000-0200-00001C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</xdr:colOff>
      <xdr:row>20</xdr:row>
      <xdr:rowOff>0</xdr:rowOff>
    </xdr:from>
    <xdr:to>
      <xdr:col>10</xdr:col>
      <xdr:colOff>571500</xdr:colOff>
      <xdr:row>32</xdr:row>
      <xdr:rowOff>152400</xdr:rowOff>
    </xdr:to>
    <xdr:graphicFrame macro="">
      <xdr:nvGraphicFramePr>
        <xdr:cNvPr id="3357" name="Diagram 22">
          <a:extLst>
            <a:ext uri="{FF2B5EF4-FFF2-40B4-BE49-F238E27FC236}">
              <a16:creationId xmlns:a16="http://schemas.microsoft.com/office/drawing/2014/main" id="{00000000-0008-0000-0200-00001D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19</xdr:row>
      <xdr:rowOff>152400</xdr:rowOff>
    </xdr:from>
    <xdr:to>
      <xdr:col>5</xdr:col>
      <xdr:colOff>514350</xdr:colOff>
      <xdr:row>32</xdr:row>
      <xdr:rowOff>152400</xdr:rowOff>
    </xdr:to>
    <xdr:graphicFrame macro="">
      <xdr:nvGraphicFramePr>
        <xdr:cNvPr id="3358" name="Diagram 26">
          <a:extLst>
            <a:ext uri="{FF2B5EF4-FFF2-40B4-BE49-F238E27FC236}">
              <a16:creationId xmlns:a16="http://schemas.microsoft.com/office/drawing/2014/main" id="{00000000-0008-0000-0200-00001E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467589</xdr:colOff>
      <xdr:row>0</xdr:row>
      <xdr:rowOff>0</xdr:rowOff>
    </xdr:from>
    <xdr:to>
      <xdr:col>11</xdr:col>
      <xdr:colOff>63</xdr:colOff>
      <xdr:row>1</xdr:row>
      <xdr:rowOff>210416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08862" y="0"/>
          <a:ext cx="692792" cy="504825"/>
        </a:xfrm>
        <a:prstGeom prst="rect">
          <a:avLst/>
        </a:prstGeom>
      </xdr:spPr>
    </xdr:pic>
    <xdr:clientData/>
  </xdr:twoCellAnchor>
  <xdr:twoCellAnchor>
    <xdr:from>
      <xdr:col>6</xdr:col>
      <xdr:colOff>75045</xdr:colOff>
      <xdr:row>48</xdr:row>
      <xdr:rowOff>69273</xdr:rowOff>
    </xdr:from>
    <xdr:to>
      <xdr:col>10</xdr:col>
      <xdr:colOff>579870</xdr:colOff>
      <xdr:row>61</xdr:row>
      <xdr:rowOff>50512</xdr:rowOff>
    </xdr:to>
    <xdr:graphicFrame macro="">
      <xdr:nvGraphicFramePr>
        <xdr:cNvPr id="2" name="Diagram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3</xdr:row>
      <xdr:rowOff>0</xdr:rowOff>
    </xdr:from>
    <xdr:to>
      <xdr:col>5</xdr:col>
      <xdr:colOff>295275</xdr:colOff>
      <xdr:row>3</xdr:row>
      <xdr:rowOff>200025</xdr:rowOff>
    </xdr:to>
    <xdr:sp macro="" textlink="">
      <xdr:nvSpPr>
        <xdr:cNvPr id="4558" name="Tekst 7">
          <a:extLst>
            <a:ext uri="{FF2B5EF4-FFF2-40B4-BE49-F238E27FC236}">
              <a16:creationId xmlns:a16="http://schemas.microsoft.com/office/drawing/2014/main" id="{00000000-0008-0000-0300-0000CE110000}"/>
            </a:ext>
          </a:extLst>
        </xdr:cNvPr>
        <xdr:cNvSpPr txBox="1">
          <a:spLocks noChangeArrowheads="1"/>
        </xdr:cNvSpPr>
      </xdr:nvSpPr>
      <xdr:spPr bwMode="auto">
        <a:xfrm>
          <a:off x="3781425" y="695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50</xdr:row>
      <xdr:rowOff>57150</xdr:rowOff>
    </xdr:from>
    <xdr:to>
      <xdr:col>9</xdr:col>
      <xdr:colOff>95250</xdr:colOff>
      <xdr:row>53</xdr:row>
      <xdr:rowOff>95250</xdr:rowOff>
    </xdr:to>
    <xdr:sp macro="" textlink="">
      <xdr:nvSpPr>
        <xdr:cNvPr id="4117" name="Tekst 21">
          <a:extLst>
            <a:ext uri="{FF2B5EF4-FFF2-40B4-BE49-F238E27FC236}">
              <a16:creationId xmlns:a16="http://schemas.microsoft.com/office/drawing/2014/main" id="{00000000-0008-0000-0300-000015100000}"/>
            </a:ext>
          </a:extLst>
        </xdr:cNvPr>
        <xdr:cNvSpPr txBox="1">
          <a:spLocks noChangeArrowheads="1"/>
        </xdr:cNvSpPr>
      </xdr:nvSpPr>
      <xdr:spPr bwMode="auto">
        <a:xfrm>
          <a:off x="28575" y="8873490"/>
          <a:ext cx="6924675" cy="541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Efter endt indtastning vil det grønne regnskab, som det fremstår i BASIS-regnearket, blive korrigeret i overensstemmelse med de supplerende oplysninger. I BASIS-X-regnearket beregnes andelen af alternativ forsyning samt genbrug. De tilhørende diagrammer vises i arket BASIS-X-disgrammer</a:t>
          </a:r>
        </a:p>
      </xdr:txBody>
    </xdr:sp>
    <xdr:clientData/>
  </xdr:twoCellAnchor>
  <xdr:twoCellAnchor>
    <xdr:from>
      <xdr:col>0</xdr:col>
      <xdr:colOff>13335</xdr:colOff>
      <xdr:row>53</xdr:row>
      <xdr:rowOff>91440</xdr:rowOff>
    </xdr:from>
    <xdr:to>
      <xdr:col>9</xdr:col>
      <xdr:colOff>70485</xdr:colOff>
      <xdr:row>56</xdr:row>
      <xdr:rowOff>91440</xdr:rowOff>
    </xdr:to>
    <xdr:sp macro="" textlink="">
      <xdr:nvSpPr>
        <xdr:cNvPr id="4118" name="Tekst 22">
          <a:extLst>
            <a:ext uri="{FF2B5EF4-FFF2-40B4-BE49-F238E27FC236}">
              <a16:creationId xmlns:a16="http://schemas.microsoft.com/office/drawing/2014/main" id="{00000000-0008-0000-0300-000016100000}"/>
            </a:ext>
          </a:extLst>
        </xdr:cNvPr>
        <xdr:cNvSpPr txBox="1">
          <a:spLocks noChangeArrowheads="1"/>
        </xdr:cNvSpPr>
      </xdr:nvSpPr>
      <xdr:spPr bwMode="auto">
        <a:xfrm>
          <a:off x="13335" y="9410700"/>
          <a:ext cx="6915150" cy="5029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PS! Varme, el og vand produceret ved egne forsyningskilder tæller med i regnskabet på lige fod med forsyning udefra og vil på den måde influere på nøgletallene i opadgående retning. Ved alternativ energiforsyning bliver nøgletallet for CO</a:t>
          </a:r>
          <a:r>
            <a:rPr lang="da-DK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da-D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til gengæld lavere. 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4564" name="Rectangle 34">
          <a:extLst>
            <a:ext uri="{FF2B5EF4-FFF2-40B4-BE49-F238E27FC236}">
              <a16:creationId xmlns:a16="http://schemas.microsoft.com/office/drawing/2014/main" id="{00000000-0008-0000-0300-0000D4110000}"/>
            </a:ext>
          </a:extLst>
        </xdr:cNvPr>
        <xdr:cNvSpPr>
          <a:spLocks noChangeArrowheads="1"/>
        </xdr:cNvSpPr>
      </xdr:nvSpPr>
      <xdr:spPr bwMode="auto">
        <a:xfrm>
          <a:off x="0" y="2886075"/>
          <a:ext cx="6800850" cy="4838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000000" mc:Ignorable="a14" a14:legacySpreadsheetColorIndex="8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632602</xdr:colOff>
      <xdr:row>0</xdr:row>
      <xdr:rowOff>9525</xdr:rowOff>
    </xdr:from>
    <xdr:to>
      <xdr:col>8</xdr:col>
      <xdr:colOff>740417</xdr:colOff>
      <xdr:row>2</xdr:row>
      <xdr:rowOff>47625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7052" y="9525"/>
          <a:ext cx="88886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131884</xdr:colOff>
      <xdr:row>0</xdr:row>
      <xdr:rowOff>29307</xdr:rowOff>
    </xdr:from>
    <xdr:to>
      <xdr:col>7</xdr:col>
      <xdr:colOff>1020749</xdr:colOff>
      <xdr:row>1</xdr:row>
      <xdr:rowOff>193430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3115" y="29307"/>
          <a:ext cx="888865" cy="647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4</xdr:col>
      <xdr:colOff>504825</xdr:colOff>
      <xdr:row>17</xdr:row>
      <xdr:rowOff>152400</xdr:rowOff>
    </xdr:to>
    <xdr:graphicFrame macro="">
      <xdr:nvGraphicFramePr>
        <xdr:cNvPr id="7431" name="Diagram 1025">
          <a:extLst>
            <a:ext uri="{FF2B5EF4-FFF2-40B4-BE49-F238E27FC236}">
              <a16:creationId xmlns:a16="http://schemas.microsoft.com/office/drawing/2014/main" id="{00000000-0008-0000-0500-000007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5</xdr:row>
      <xdr:rowOff>0</xdr:rowOff>
    </xdr:from>
    <xdr:to>
      <xdr:col>9</xdr:col>
      <xdr:colOff>561975</xdr:colOff>
      <xdr:row>18</xdr:row>
      <xdr:rowOff>0</xdr:rowOff>
    </xdr:to>
    <xdr:graphicFrame macro="">
      <xdr:nvGraphicFramePr>
        <xdr:cNvPr id="7432" name="Diagram 1026">
          <a:extLst>
            <a:ext uri="{FF2B5EF4-FFF2-40B4-BE49-F238E27FC236}">
              <a16:creationId xmlns:a16="http://schemas.microsoft.com/office/drawing/2014/main" id="{00000000-0008-0000-0500-000008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9525</xdr:rowOff>
    </xdr:from>
    <xdr:to>
      <xdr:col>4</xdr:col>
      <xdr:colOff>504825</xdr:colOff>
      <xdr:row>32</xdr:row>
      <xdr:rowOff>152400</xdr:rowOff>
    </xdr:to>
    <xdr:graphicFrame macro="">
      <xdr:nvGraphicFramePr>
        <xdr:cNvPr id="7433" name="Diagram 1027">
          <a:extLst>
            <a:ext uri="{FF2B5EF4-FFF2-40B4-BE49-F238E27FC236}">
              <a16:creationId xmlns:a16="http://schemas.microsoft.com/office/drawing/2014/main" id="{00000000-0008-0000-0500-000009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20</xdr:row>
      <xdr:rowOff>9525</xdr:rowOff>
    </xdr:from>
    <xdr:to>
      <xdr:col>9</xdr:col>
      <xdr:colOff>579120</xdr:colOff>
      <xdr:row>32</xdr:row>
      <xdr:rowOff>152400</xdr:rowOff>
    </xdr:to>
    <xdr:graphicFrame macro="">
      <xdr:nvGraphicFramePr>
        <xdr:cNvPr id="7434" name="Diagram 1028">
          <a:extLst>
            <a:ext uri="{FF2B5EF4-FFF2-40B4-BE49-F238E27FC236}">
              <a16:creationId xmlns:a16="http://schemas.microsoft.com/office/drawing/2014/main" id="{00000000-0008-0000-0500-00000A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4</xdr:col>
      <xdr:colOff>495300</xdr:colOff>
      <xdr:row>47</xdr:row>
      <xdr:rowOff>152400</xdr:rowOff>
    </xdr:to>
    <xdr:graphicFrame macro="">
      <xdr:nvGraphicFramePr>
        <xdr:cNvPr id="7435" name="Diagram 1029">
          <a:extLst>
            <a:ext uri="{FF2B5EF4-FFF2-40B4-BE49-F238E27FC236}">
              <a16:creationId xmlns:a16="http://schemas.microsoft.com/office/drawing/2014/main" id="{00000000-0008-0000-0500-00000B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35</xdr:row>
      <xdr:rowOff>0</xdr:rowOff>
    </xdr:from>
    <xdr:to>
      <xdr:col>9</xdr:col>
      <xdr:colOff>579120</xdr:colOff>
      <xdr:row>47</xdr:row>
      <xdr:rowOff>152400</xdr:rowOff>
    </xdr:to>
    <xdr:graphicFrame macro="">
      <xdr:nvGraphicFramePr>
        <xdr:cNvPr id="7436" name="Diagram 1030">
          <a:extLst>
            <a:ext uri="{FF2B5EF4-FFF2-40B4-BE49-F238E27FC236}">
              <a16:creationId xmlns:a16="http://schemas.microsoft.com/office/drawing/2014/main" id="{00000000-0008-0000-0500-00000C1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8</xdr:col>
      <xdr:colOff>542925</xdr:colOff>
      <xdr:row>0</xdr:row>
      <xdr:rowOff>0</xdr:rowOff>
    </xdr:from>
    <xdr:to>
      <xdr:col>9</xdr:col>
      <xdr:colOff>578494</xdr:colOff>
      <xdr:row>1</xdr:row>
      <xdr:rowOff>154026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91125" y="0"/>
          <a:ext cx="616594" cy="449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22019</xdr:colOff>
      <xdr:row>10</xdr:row>
      <xdr:rowOff>160020</xdr:rowOff>
    </xdr:from>
    <xdr:to>
      <xdr:col>7</xdr:col>
      <xdr:colOff>528473</xdr:colOff>
      <xdr:row>25</xdr:row>
      <xdr:rowOff>140301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619" y="2202180"/>
          <a:ext cx="4164054" cy="24948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le Michael Jensen" id="{B02C1FDD-ECDF-47C0-B4B4-0EE1D8B2D22A}" userId="S::omj@sbi.aau.dk::93bf1517-b7c3-42bc-96d5-af3f4299bc44" providerId="AD"/>
</personList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32" dT="2023-02-07T13:32:21.30" personId="{B02C1FDD-ECDF-47C0-B4B4-0EE1D8B2D22A}" id="{50434D2A-C8DD-4A6D-AA9A-995AA404DDE0}" done="1">
    <text>Nu under Hjørring FV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eknologisk.dk/energi/492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P69"/>
  <sheetViews>
    <sheetView showGridLines="0" tabSelected="1" topLeftCell="A3" zoomScaleNormal="100" workbookViewId="0">
      <selection activeCell="L42" sqref="L42"/>
    </sheetView>
  </sheetViews>
  <sheetFormatPr defaultColWidth="9.109375" defaultRowHeight="13.2"/>
  <cols>
    <col min="1" max="1" width="1.6640625" style="58" customWidth="1"/>
    <col min="2" max="2" width="11" style="58" customWidth="1"/>
    <col min="3" max="3" width="19.6640625" style="58" customWidth="1"/>
    <col min="4" max="7" width="11.6640625" style="58" customWidth="1"/>
    <col min="8" max="8" width="13.109375" style="58" customWidth="1"/>
    <col min="9" max="9" width="11.6640625" style="58" customWidth="1"/>
    <col min="10" max="10" width="3.6640625" style="58" customWidth="1"/>
    <col min="11" max="11" width="7.5546875" style="58" customWidth="1"/>
    <col min="12" max="12" width="21.33203125" style="58" customWidth="1"/>
    <col min="13" max="16384" width="9.109375" style="58"/>
  </cols>
  <sheetData>
    <row r="1" spans="1:10" ht="24" customHeight="1">
      <c r="A1" s="133" t="str">
        <f>"Grønt Regnskab "&amp;VLOOKUP(I11,'Graddage mv.'!A7:B25,2)</f>
        <v>Grønt Regnskab 2022-23</v>
      </c>
      <c r="B1" s="68"/>
      <c r="C1" s="72"/>
      <c r="G1" s="133"/>
      <c r="I1" s="91"/>
    </row>
    <row r="2" spans="1:10" ht="45" customHeight="1">
      <c r="A2" s="134" t="str">
        <f>D12</f>
        <v>Klimaly</v>
      </c>
      <c r="C2" s="156"/>
      <c r="E2" s="156"/>
      <c r="F2" s="156"/>
      <c r="G2" s="94"/>
      <c r="H2" s="94"/>
      <c r="I2" s="94"/>
      <c r="J2" s="135" t="s">
        <v>486</v>
      </c>
    </row>
    <row r="3" spans="1:10" ht="36" customHeight="1">
      <c r="B3" s="136" t="str">
        <f>"Udfyld de hvide felter og erstat eksemplet "&amp; D12</f>
        <v>Udfyld de hvide felter og erstat eksemplet Klimaly</v>
      </c>
      <c r="C3"/>
      <c r="D3"/>
      <c r="E3" s="33"/>
    </row>
    <row r="4" spans="1:10" ht="18" customHeight="1">
      <c r="B4" s="94" t="s">
        <v>493</v>
      </c>
      <c r="C4"/>
      <c r="D4"/>
      <c r="E4" s="33"/>
    </row>
    <row r="5" spans="1:10" ht="11.25" customHeight="1">
      <c r="B5" s="94" t="s">
        <v>494</v>
      </c>
      <c r="C5"/>
      <c r="D5"/>
      <c r="E5" s="33"/>
    </row>
    <row r="6" spans="1:10" ht="12.75" customHeight="1">
      <c r="A6" s="58" t="s">
        <v>492</v>
      </c>
      <c r="B6" s="94" t="s">
        <v>499</v>
      </c>
      <c r="C6"/>
      <c r="D6"/>
      <c r="E6" s="33"/>
    </row>
    <row r="7" spans="1:10" ht="12.75" customHeight="1">
      <c r="B7" s="58" t="s">
        <v>33</v>
      </c>
      <c r="C7"/>
      <c r="D7"/>
      <c r="E7" s="33"/>
    </row>
    <row r="8" spans="1:10" ht="12.75" customHeight="1">
      <c r="B8" s="58" t="s">
        <v>500</v>
      </c>
      <c r="C8"/>
    </row>
    <row r="9" spans="1:10" ht="12.75" customHeight="1">
      <c r="B9" s="315" t="s">
        <v>544</v>
      </c>
      <c r="C9"/>
    </row>
    <row r="10" spans="1:10" ht="13.5" customHeight="1">
      <c r="B10" s="94"/>
      <c r="C10"/>
    </row>
    <row r="11" spans="1:10" s="277" customFormat="1" ht="9" customHeight="1" thickBot="1">
      <c r="A11" s="274"/>
      <c r="B11" s="275"/>
      <c r="C11" s="275"/>
      <c r="D11" s="275"/>
      <c r="E11" s="275"/>
      <c r="F11" s="275"/>
      <c r="G11" s="275"/>
      <c r="H11" s="275"/>
      <c r="I11" s="310">
        <v>16</v>
      </c>
      <c r="J11" s="276"/>
    </row>
    <row r="12" spans="1:10" ht="13.8" thickBot="1">
      <c r="A12" s="59"/>
      <c r="B12" s="65" t="s">
        <v>401</v>
      </c>
      <c r="C12" s="60"/>
      <c r="D12" s="450" t="s">
        <v>592</v>
      </c>
      <c r="E12" s="451"/>
      <c r="F12" s="452"/>
      <c r="G12" s="453" t="s">
        <v>476</v>
      </c>
      <c r="H12" s="453"/>
      <c r="I12" s="60"/>
      <c r="J12" s="61"/>
    </row>
    <row r="13" spans="1:10" ht="12.75" customHeight="1">
      <c r="A13" s="59"/>
      <c r="B13" s="60"/>
      <c r="C13" s="60"/>
      <c r="D13" s="60"/>
      <c r="E13" s="60"/>
      <c r="F13" s="60"/>
      <c r="G13" s="60"/>
      <c r="H13" s="60"/>
      <c r="I13" s="311">
        <v>1</v>
      </c>
      <c r="J13" s="61"/>
    </row>
    <row r="14" spans="1:10" ht="13.5" customHeight="1">
      <c r="A14" s="59"/>
      <c r="B14" s="60" t="s">
        <v>47</v>
      </c>
      <c r="C14" s="60"/>
      <c r="D14" s="309">
        <v>172</v>
      </c>
      <c r="E14" s="60"/>
      <c r="F14" s="60"/>
      <c r="G14" s="60"/>
      <c r="H14" s="255" t="s">
        <v>477</v>
      </c>
      <c r="I14" s="60"/>
      <c r="J14" s="61"/>
    </row>
    <row r="15" spans="1:10" ht="10.5" customHeight="1">
      <c r="A15" s="59"/>
      <c r="B15" s="60"/>
      <c r="C15" s="60"/>
      <c r="D15" s="60"/>
      <c r="E15" s="60"/>
      <c r="F15" s="60"/>
      <c r="G15" s="60"/>
      <c r="H15" s="60"/>
      <c r="I15" s="417">
        <v>1</v>
      </c>
      <c r="J15" s="61"/>
    </row>
    <row r="16" spans="1:10" ht="13.5" customHeight="1">
      <c r="A16" s="59"/>
      <c r="B16" s="60" t="s">
        <v>48</v>
      </c>
      <c r="C16" s="419">
        <v>6</v>
      </c>
      <c r="D16" s="304" t="str">
        <f>VLOOKUP($D$14,'CO2-fjernvarme'!B7:C374,2,FALSE)</f>
        <v>Korsør Fjernvarme</v>
      </c>
      <c r="E16" s="157"/>
      <c r="F16" s="158"/>
      <c r="G16" s="221"/>
      <c r="H16" s="292" t="s">
        <v>37</v>
      </c>
      <c r="I16" s="295"/>
      <c r="J16" s="61"/>
    </row>
    <row r="17" spans="1:16" ht="10.5" customHeight="1">
      <c r="A17" s="59"/>
      <c r="B17" s="60"/>
      <c r="C17" s="60">
        <v>5</v>
      </c>
      <c r="D17" s="60"/>
      <c r="E17" s="60"/>
      <c r="F17" s="60"/>
      <c r="G17" s="60"/>
      <c r="H17" s="60"/>
      <c r="I17" s="311">
        <v>6</v>
      </c>
      <c r="J17" s="61"/>
    </row>
    <row r="18" spans="1:16" ht="13.5" customHeight="1">
      <c r="A18" s="59"/>
      <c r="B18" s="60" t="s">
        <v>488</v>
      </c>
      <c r="C18" s="67"/>
      <c r="D18" s="305">
        <f>VLOOKUP(D14,'CO2-fjernvarme'!B7:I374,8)</f>
        <v>12.384</v>
      </c>
      <c r="E18" s="60" t="s">
        <v>412</v>
      </c>
      <c r="F18" s="60"/>
      <c r="G18" s="454" t="s">
        <v>562</v>
      </c>
      <c r="H18" s="455"/>
      <c r="I18" s="60"/>
      <c r="J18" s="61"/>
    </row>
    <row r="19" spans="1:16" ht="9" customHeight="1">
      <c r="A19" s="62"/>
      <c r="B19" s="63"/>
      <c r="C19" s="63"/>
      <c r="D19" s="63"/>
      <c r="E19" s="63"/>
      <c r="F19" s="63"/>
      <c r="G19" s="63"/>
      <c r="H19" s="63"/>
      <c r="I19" s="63"/>
      <c r="J19" s="64"/>
    </row>
    <row r="20" spans="1:16" ht="27" customHeight="1">
      <c r="B20" s="315" t="s">
        <v>7</v>
      </c>
    </row>
    <row r="21" spans="1:16" ht="11.25" customHeight="1">
      <c r="B21" s="94" t="s">
        <v>501</v>
      </c>
      <c r="N21" s="58" t="s">
        <v>492</v>
      </c>
    </row>
    <row r="22" spans="1:16" ht="12.75" customHeight="1">
      <c r="B22" s="58" t="s">
        <v>502</v>
      </c>
    </row>
    <row r="23" spans="1:16" ht="12.75" customHeight="1">
      <c r="B23" s="315" t="s">
        <v>545</v>
      </c>
      <c r="L23" s="113"/>
      <c r="P23" s="58" t="s">
        <v>492</v>
      </c>
    </row>
    <row r="24" spans="1:16" ht="12.75" customHeight="1">
      <c r="B24" s="315" t="s">
        <v>546</v>
      </c>
      <c r="M24" s="227"/>
    </row>
    <row r="25" spans="1:16" ht="12.75" customHeight="1">
      <c r="B25" s="315" t="s">
        <v>590</v>
      </c>
    </row>
    <row r="26" spans="1:16" ht="12.75" customHeight="1">
      <c r="B26" s="315" t="s">
        <v>611</v>
      </c>
    </row>
    <row r="27" spans="1:16" ht="12.75" customHeight="1">
      <c r="B27" s="315" t="s">
        <v>610</v>
      </c>
      <c r="H27" s="163"/>
      <c r="L27" s="315"/>
    </row>
    <row r="28" spans="1:16" ht="12.75" customHeight="1">
      <c r="B28" s="315" t="s">
        <v>601</v>
      </c>
      <c r="H28" s="163"/>
    </row>
    <row r="29" spans="1:16" ht="9.75" customHeight="1"/>
    <row r="30" spans="1:16" ht="7.5" customHeight="1" thickBot="1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pans="1:16" ht="14.25" customHeight="1" thickBot="1">
      <c r="A31" s="60"/>
      <c r="B31" s="427">
        <f>VLOOKUP(I13,'Graddage mv.'!U6:W7,3)</f>
        <v>2599</v>
      </c>
      <c r="C31" s="155" t="s">
        <v>478</v>
      </c>
      <c r="D31" s="344"/>
      <c r="E31" s="345"/>
      <c r="F31" s="345"/>
      <c r="G31" s="345"/>
      <c r="H31" s="345"/>
      <c r="I31" s="346"/>
      <c r="J31" s="60"/>
      <c r="L31" s="136"/>
    </row>
    <row r="32" spans="1:16" s="299" customFormat="1" ht="12.75" customHeight="1" thickBot="1">
      <c r="A32" s="298"/>
      <c r="B32" s="298"/>
      <c r="C32" s="298"/>
      <c r="D32" s="312">
        <v>3</v>
      </c>
      <c r="E32" s="312">
        <v>4</v>
      </c>
      <c r="F32" s="312">
        <v>5</v>
      </c>
      <c r="G32" s="312">
        <v>6</v>
      </c>
      <c r="H32" s="312">
        <v>7</v>
      </c>
      <c r="I32" s="312">
        <v>8</v>
      </c>
      <c r="J32" s="298"/>
      <c r="M32" s="426"/>
    </row>
    <row r="33" spans="1:12" s="284" customFormat="1" ht="12.75" customHeight="1">
      <c r="A33" s="283"/>
      <c r="B33" s="288" t="s">
        <v>49</v>
      </c>
      <c r="C33" s="285"/>
      <c r="D33" s="347">
        <f>VLOOKUP(D$32,'Graddage mv.'!$A$6:$B$25,2)</f>
        <v>2019</v>
      </c>
      <c r="E33" s="348">
        <f>VLOOKUP(E$32,'Graddage mv.'!$A$7:$B$25,2)</f>
        <v>2020</v>
      </c>
      <c r="F33" s="348">
        <f>VLOOKUP(F$32,'Graddage mv.'!$A$7:$B$25,2)</f>
        <v>2021</v>
      </c>
      <c r="G33" s="348">
        <f>VLOOKUP(G$32,'Graddage mv.'!$A$7:$B$25,2)</f>
        <v>2022</v>
      </c>
      <c r="H33" s="348">
        <f>VLOOKUP(H$32,'Graddage mv.'!$A$7:$B$25,2)</f>
        <v>2023</v>
      </c>
      <c r="I33" s="349">
        <f>VLOOKUP(I$32,'Graddage mv.'!$A$7:$B$25,2)</f>
        <v>2024</v>
      </c>
      <c r="J33" s="286"/>
      <c r="K33" s="287"/>
    </row>
    <row r="34" spans="1:12" s="287" customFormat="1" ht="15.75" customHeight="1">
      <c r="A34" s="285"/>
      <c r="B34" s="235" t="str">
        <f>"Graddagetal (normal "&amp;B31&amp;")"</f>
        <v>Graddagetal (normal 2599)</v>
      </c>
      <c r="C34" s="60"/>
      <c r="D34" s="350">
        <f>VLOOKUP(D32,'Graddage mv.'!$A$7:$O$25,$I$13+14)</f>
        <v>2237</v>
      </c>
      <c r="E34" s="162">
        <f>VLOOKUP(E32,'Graddage mv.'!$A$7:$O$25,$I$13+14)</f>
        <v>2326</v>
      </c>
      <c r="F34" s="162">
        <f>VLOOKUP(F32,'Graddage mv.'!$A$7:$O$25,$I$13+14)</f>
        <v>2590</v>
      </c>
      <c r="G34" s="162">
        <f>VLOOKUP(G32,'Graddage mv.'!$A$6:$P$25,$I$13+14)</f>
        <v>2178</v>
      </c>
      <c r="H34" s="162">
        <f>VLOOKUP(H32,'Graddage mv.'!$A$6:$P$25,$I$13+14)</f>
        <v>2366</v>
      </c>
      <c r="I34" s="351">
        <f>VLOOKUP(I32,'Graddage mv.'!$A$6:$P$25,$I$13+14)</f>
        <v>2231</v>
      </c>
      <c r="J34" s="60"/>
      <c r="K34" s="94"/>
    </row>
    <row r="35" spans="1:12" ht="14.25" customHeight="1">
      <c r="A35" s="60"/>
      <c r="B35" s="60" t="s">
        <v>586</v>
      </c>
      <c r="C35" s="67"/>
      <c r="D35" s="352">
        <f>VLOOKUP($D$14,'CO2-fjernvarme'!$B$7:$U$374,D32+2,FALSE)</f>
        <v>45.072000000000003</v>
      </c>
      <c r="E35" s="352">
        <f>VLOOKUP($D$14,'CO2-fjernvarme'!$B$7:$U$374,E32+2,FALSE)</f>
        <v>13.284000000000001</v>
      </c>
      <c r="F35" s="352">
        <f>VLOOKUP($D$14,'CO2-fjernvarme'!$B$7:$U$374,F32+2,FALSE)</f>
        <v>12.384</v>
      </c>
      <c r="G35" s="352">
        <f>VLOOKUP($D$14,'CO2-fjernvarme'!$B$7:$U$374,G32+2,FALSE)</f>
        <v>12.384</v>
      </c>
      <c r="H35" s="352">
        <f>VLOOKUP($D$14,'CO2-fjernvarme'!$B$7:$U$374,H32+2,FALSE)</f>
        <v>12.384</v>
      </c>
      <c r="I35" s="352">
        <f>VLOOKUP($D$14,'CO2-fjernvarme'!$B$7:$U$374,I32+2,FALSE)</f>
        <v>12.384</v>
      </c>
      <c r="J35" s="60"/>
    </row>
    <row r="36" spans="1:12" ht="14.25" customHeight="1" thickBot="1">
      <c r="A36" s="60"/>
      <c r="B36" s="288" t="s">
        <v>574</v>
      </c>
      <c r="C36" s="67"/>
      <c r="D36" s="353">
        <f>HLOOKUP(D32,'CO2-el'!$B$3:$T$5,3,FALSE)</f>
        <v>202</v>
      </c>
      <c r="E36" s="353">
        <f>HLOOKUP(E32,'CO2-el'!$B$3:$T$5,3,FALSE)</f>
        <v>149</v>
      </c>
      <c r="F36" s="353">
        <f>HLOOKUP(F32,'CO2-el'!$B$3:$T$5,3,FALSE)</f>
        <v>125</v>
      </c>
      <c r="G36" s="353">
        <f>HLOOKUP(G32,'CO2-el'!$B$3:$T$5,3,FALSE)</f>
        <v>136</v>
      </c>
      <c r="H36" s="353">
        <f>HLOOKUP(H32,'CO2-el'!$B$3:$T$5,3,FALSE)</f>
        <v>124</v>
      </c>
      <c r="I36" s="353">
        <f>HLOOKUP(I32,'CO2-el'!$B$3:$T$5,3,FALSE)</f>
        <v>96</v>
      </c>
      <c r="J36" s="60"/>
      <c r="L36" s="315"/>
    </row>
    <row r="37" spans="1:12" s="299" customFormat="1" ht="14.25" customHeight="1" thickBot="1">
      <c r="A37" s="298"/>
      <c r="B37" s="300"/>
      <c r="C37" s="301"/>
      <c r="D37" s="331"/>
      <c r="E37" s="331"/>
      <c r="F37" s="331"/>
      <c r="G37" s="331"/>
      <c r="H37" s="331"/>
      <c r="I37" s="331"/>
      <c r="J37" s="300"/>
      <c r="K37" s="302"/>
    </row>
    <row r="38" spans="1:12" s="271" customFormat="1" ht="13.95" customHeight="1">
      <c r="A38" s="270"/>
      <c r="B38" s="65" t="s">
        <v>432</v>
      </c>
      <c r="C38" s="60"/>
      <c r="D38" s="354">
        <v>14900</v>
      </c>
      <c r="E38" s="354">
        <v>14900</v>
      </c>
      <c r="F38" s="354">
        <v>14900</v>
      </c>
      <c r="G38" s="354">
        <v>14900</v>
      </c>
      <c r="H38" s="354">
        <v>14900</v>
      </c>
      <c r="I38" s="354">
        <v>14900</v>
      </c>
      <c r="J38" s="60"/>
      <c r="K38" s="58"/>
    </row>
    <row r="39" spans="1:12" ht="12.75" customHeight="1" thickBot="1">
      <c r="A39" s="60"/>
      <c r="B39" s="65" t="s">
        <v>50</v>
      </c>
      <c r="C39" s="60"/>
      <c r="D39" s="355">
        <v>375</v>
      </c>
      <c r="E39" s="355">
        <v>377</v>
      </c>
      <c r="F39" s="355">
        <v>379</v>
      </c>
      <c r="G39" s="355">
        <v>382</v>
      </c>
      <c r="H39" s="356">
        <v>379</v>
      </c>
      <c r="I39" s="356">
        <v>379</v>
      </c>
      <c r="J39" s="60"/>
    </row>
    <row r="40" spans="1:12" ht="12.75" customHeight="1" thickBot="1">
      <c r="A40" s="60"/>
      <c r="B40" s="66"/>
      <c r="C40" s="66"/>
      <c r="D40" s="73"/>
      <c r="E40" s="73"/>
      <c r="F40" s="73"/>
      <c r="G40" s="73"/>
      <c r="H40" s="73"/>
      <c r="I40" s="73"/>
      <c r="J40" s="60"/>
    </row>
    <row r="41" spans="1:12" ht="6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</row>
    <row r="42" spans="1:12" ht="12.75" customHeight="1" thickBot="1">
      <c r="A42" s="60"/>
      <c r="B42" s="65" t="s">
        <v>51</v>
      </c>
      <c r="C42" s="60"/>
      <c r="D42" s="60"/>
      <c r="E42" s="60"/>
      <c r="F42" s="60"/>
      <c r="G42" s="60"/>
      <c r="H42" s="60"/>
      <c r="I42" s="60"/>
      <c r="J42" s="60"/>
    </row>
    <row r="43" spans="1:12">
      <c r="A43" s="60"/>
      <c r="B43" s="60" t="s">
        <v>52</v>
      </c>
      <c r="C43" s="60"/>
      <c r="D43" s="337">
        <v>1470</v>
      </c>
      <c r="E43" s="337">
        <v>1460</v>
      </c>
      <c r="F43" s="337">
        <v>1424</v>
      </c>
      <c r="G43" s="338">
        <v>1418</v>
      </c>
      <c r="H43" s="338">
        <v>1450</v>
      </c>
      <c r="I43" s="338">
        <v>1380</v>
      </c>
      <c r="J43" s="60"/>
    </row>
    <row r="44" spans="1:12">
      <c r="A44" s="60"/>
      <c r="B44" s="60" t="s">
        <v>439</v>
      </c>
      <c r="C44" s="60"/>
      <c r="D44" s="339"/>
      <c r="E44" s="181"/>
      <c r="F44" s="181"/>
      <c r="G44" s="181"/>
      <c r="H44" s="181"/>
      <c r="I44" s="340"/>
      <c r="J44" s="60"/>
    </row>
    <row r="45" spans="1:12" ht="13.2" customHeight="1">
      <c r="A45" s="60"/>
      <c r="B45" s="60" t="s">
        <v>413</v>
      </c>
      <c r="C45" s="60"/>
      <c r="D45" s="339"/>
      <c r="E45" s="181"/>
      <c r="F45" s="181"/>
      <c r="G45" s="181"/>
      <c r="H45" s="181"/>
      <c r="I45" s="340"/>
      <c r="J45" s="60"/>
    </row>
    <row r="46" spans="1:12">
      <c r="A46" s="60"/>
      <c r="B46" s="60" t="s">
        <v>506</v>
      </c>
      <c r="C46" s="60"/>
      <c r="D46" s="339"/>
      <c r="E46" s="181"/>
      <c r="F46" s="181"/>
      <c r="G46" s="181"/>
      <c r="H46" s="181"/>
      <c r="I46" s="340"/>
      <c r="J46" s="60"/>
    </row>
    <row r="47" spans="1:12" ht="13.8" thickBot="1">
      <c r="A47" s="60"/>
      <c r="B47" s="60" t="s">
        <v>505</v>
      </c>
      <c r="C47" s="60"/>
      <c r="D47" s="341"/>
      <c r="E47" s="342"/>
      <c r="F47" s="342"/>
      <c r="G47" s="342"/>
      <c r="H47" s="342"/>
      <c r="I47" s="343"/>
      <c r="J47" s="60"/>
    </row>
    <row r="48" spans="1:12" ht="13.8" thickBot="1">
      <c r="A48" s="60"/>
      <c r="B48" s="60"/>
      <c r="C48" s="60"/>
      <c r="D48" s="159"/>
      <c r="E48" s="159"/>
      <c r="F48" s="159"/>
      <c r="G48" s="159"/>
      <c r="H48" s="159"/>
      <c r="I48" s="159"/>
      <c r="J48" s="60"/>
    </row>
    <row r="49" spans="1:16" ht="12.75" customHeight="1" thickBot="1">
      <c r="A49" s="60"/>
      <c r="B49" s="60" t="s">
        <v>487</v>
      </c>
      <c r="C49" s="60"/>
      <c r="D49" s="357">
        <v>250</v>
      </c>
      <c r="E49" s="357">
        <v>244</v>
      </c>
      <c r="F49" s="357">
        <v>230</v>
      </c>
      <c r="G49" s="358">
        <v>240</v>
      </c>
      <c r="H49" s="358">
        <v>235</v>
      </c>
      <c r="I49" s="358">
        <v>225</v>
      </c>
      <c r="J49" s="60"/>
    </row>
    <row r="50" spans="1:16" ht="20.25" customHeight="1" thickBot="1">
      <c r="A50" s="60"/>
      <c r="B50" s="65" t="s">
        <v>53</v>
      </c>
      <c r="C50" s="60"/>
      <c r="D50" s="182"/>
      <c r="E50" s="182"/>
      <c r="F50" s="182"/>
      <c r="G50" s="182"/>
      <c r="H50" s="182"/>
      <c r="I50" s="182"/>
      <c r="J50" s="60"/>
    </row>
    <row r="51" spans="1:16" ht="12" customHeight="1">
      <c r="A51" s="60"/>
      <c r="B51" s="60" t="s">
        <v>497</v>
      </c>
      <c r="C51" s="60"/>
      <c r="D51" s="434">
        <v>80050</v>
      </c>
      <c r="E51" s="359">
        <v>81000</v>
      </c>
      <c r="F51" s="359">
        <v>77000</v>
      </c>
      <c r="G51" s="359">
        <v>76000</v>
      </c>
      <c r="H51" s="359">
        <v>75600</v>
      </c>
      <c r="I51" s="360">
        <v>75100</v>
      </c>
      <c r="J51" s="60"/>
    </row>
    <row r="52" spans="1:16" ht="12" customHeight="1" thickBot="1">
      <c r="A52" s="60"/>
      <c r="B52" s="60" t="s">
        <v>496</v>
      </c>
      <c r="C52" s="60"/>
      <c r="D52" s="435">
        <v>278000</v>
      </c>
      <c r="E52" s="361">
        <v>275000</v>
      </c>
      <c r="F52" s="361">
        <v>270000</v>
      </c>
      <c r="G52" s="361">
        <v>151000</v>
      </c>
      <c r="H52" s="361">
        <v>148000</v>
      </c>
      <c r="I52" s="362">
        <v>126000</v>
      </c>
      <c r="J52" s="60"/>
      <c r="K52" s="306"/>
    </row>
    <row r="53" spans="1:16">
      <c r="A53" s="60"/>
      <c r="B53" s="288" t="s">
        <v>600</v>
      </c>
      <c r="C53" s="60"/>
      <c r="D53" s="183">
        <f>'Indtastningsark-X'!D33*1000</f>
        <v>0</v>
      </c>
      <c r="E53" s="183">
        <f>'Indtastningsark-X'!E33*1000</f>
        <v>0</v>
      </c>
      <c r="F53" s="183">
        <f>'Indtastningsark-X'!F33*1000</f>
        <v>0</v>
      </c>
      <c r="G53" s="183">
        <f>'Indtastningsark-X'!G33*1000</f>
        <v>131000</v>
      </c>
      <c r="H53" s="183">
        <f>'Indtastningsark-X'!H33*1000</f>
        <v>132000</v>
      </c>
      <c r="I53" s="183">
        <f>'Indtastningsark-X'!I33*1000</f>
        <v>135000</v>
      </c>
      <c r="J53" s="60"/>
      <c r="K53" s="306"/>
      <c r="L53" s="306"/>
      <c r="M53" s="306"/>
      <c r="N53" s="306"/>
      <c r="O53" s="306"/>
      <c r="P53" s="306"/>
    </row>
    <row r="54" spans="1:16" ht="19.5" customHeight="1" thickBot="1">
      <c r="A54" s="60"/>
      <c r="B54" s="65" t="s">
        <v>54</v>
      </c>
      <c r="C54" s="60"/>
      <c r="D54" s="182"/>
      <c r="E54" s="182"/>
      <c r="F54" s="182"/>
      <c r="G54" s="182"/>
      <c r="H54" s="182"/>
      <c r="I54" s="182"/>
      <c r="J54" s="60"/>
      <c r="L54" s="306"/>
      <c r="M54" s="306"/>
      <c r="N54" s="306"/>
      <c r="O54" s="306"/>
      <c r="P54" s="306"/>
    </row>
    <row r="55" spans="1:16" ht="13.2" customHeight="1">
      <c r="A55" s="60"/>
      <c r="B55" s="60" t="s">
        <v>414</v>
      </c>
      <c r="C55" s="60"/>
      <c r="D55" s="359">
        <v>11980</v>
      </c>
      <c r="E55" s="359">
        <v>11440</v>
      </c>
      <c r="F55" s="359">
        <v>12040</v>
      </c>
      <c r="G55" s="360">
        <v>12020</v>
      </c>
      <c r="H55" s="360">
        <v>11600</v>
      </c>
      <c r="I55" s="360">
        <v>11750</v>
      </c>
      <c r="J55" s="60"/>
    </row>
    <row r="56" spans="1:16" ht="13.2" customHeight="1" thickBot="1">
      <c r="A56" s="60"/>
      <c r="B56" s="60" t="s">
        <v>415</v>
      </c>
      <c r="C56" s="60"/>
      <c r="D56" s="361"/>
      <c r="E56" s="361"/>
      <c r="F56" s="361"/>
      <c r="G56" s="361"/>
      <c r="H56" s="362"/>
      <c r="I56" s="362"/>
      <c r="J56" s="60"/>
    </row>
    <row r="57" spans="1:16" ht="19.5" customHeight="1" thickBot="1">
      <c r="A57" s="60"/>
      <c r="B57" s="65" t="s">
        <v>55</v>
      </c>
      <c r="C57" s="60"/>
      <c r="D57" s="60"/>
      <c r="E57" s="60"/>
      <c r="F57" s="60"/>
      <c r="G57" s="60"/>
      <c r="H57" s="60"/>
      <c r="I57" s="60"/>
      <c r="J57" s="60"/>
    </row>
    <row r="58" spans="1:16" ht="12" customHeight="1">
      <c r="A58" s="60"/>
      <c r="B58" s="60" t="s">
        <v>456</v>
      </c>
      <c r="C58" s="60"/>
      <c r="D58" s="363">
        <v>115.6</v>
      </c>
      <c r="E58" s="363">
        <v>118</v>
      </c>
      <c r="F58" s="363">
        <v>107</v>
      </c>
      <c r="G58" s="364">
        <v>109</v>
      </c>
      <c r="H58" s="364">
        <v>99</v>
      </c>
      <c r="I58" s="364">
        <v>95</v>
      </c>
      <c r="J58" s="60"/>
    </row>
    <row r="59" spans="1:16">
      <c r="A59" s="60"/>
      <c r="B59" s="288" t="s">
        <v>594</v>
      </c>
      <c r="C59" s="60"/>
      <c r="D59" s="184">
        <v>12.7</v>
      </c>
      <c r="E59" s="184">
        <v>13.1</v>
      </c>
      <c r="F59" s="184">
        <v>14.2</v>
      </c>
      <c r="G59" s="365">
        <v>14.7</v>
      </c>
      <c r="H59" s="365">
        <v>17.7</v>
      </c>
      <c r="I59" s="365">
        <v>17.5</v>
      </c>
      <c r="J59" s="60"/>
    </row>
    <row r="60" spans="1:16" ht="13.8" thickBot="1">
      <c r="A60" s="60"/>
      <c r="B60" s="60" t="s">
        <v>449</v>
      </c>
      <c r="C60" s="60"/>
      <c r="D60" s="367">
        <v>4.0999999999999996</v>
      </c>
      <c r="E60" s="367">
        <v>4</v>
      </c>
      <c r="F60" s="367">
        <v>6.4</v>
      </c>
      <c r="G60" s="368">
        <v>5.94</v>
      </c>
      <c r="H60" s="368">
        <v>6</v>
      </c>
      <c r="I60" s="368">
        <v>6</v>
      </c>
      <c r="J60" s="60"/>
    </row>
    <row r="61" spans="1:16">
      <c r="A61" s="60"/>
      <c r="B61" s="60"/>
      <c r="C61" s="60"/>
      <c r="D61" s="60"/>
      <c r="E61" s="60"/>
      <c r="F61" s="60"/>
      <c r="G61" s="60"/>
      <c r="H61" s="60"/>
      <c r="I61" s="60"/>
      <c r="J61" s="60"/>
    </row>
    <row r="62" spans="1:16" ht="9" customHeight="1"/>
    <row r="63" spans="1:16">
      <c r="B63" s="117"/>
      <c r="C63" s="118"/>
      <c r="D63" s="118"/>
      <c r="E63" s="118"/>
      <c r="F63" s="118"/>
      <c r="G63" s="118"/>
      <c r="H63" s="118"/>
      <c r="I63" s="118"/>
    </row>
    <row r="64" spans="1:16" ht="12.75" customHeight="1">
      <c r="B64" s="160"/>
      <c r="C64" s="160"/>
      <c r="D64" s="160"/>
      <c r="E64" s="160"/>
      <c r="F64" s="160"/>
      <c r="G64" s="160"/>
      <c r="H64" s="160"/>
      <c r="I64" s="160"/>
    </row>
    <row r="65" spans="1:10">
      <c r="B65" s="160"/>
      <c r="C65" s="160"/>
      <c r="D65" s="160"/>
      <c r="E65" s="160"/>
      <c r="F65" s="160"/>
      <c r="G65" s="160"/>
      <c r="H65" s="160"/>
      <c r="I65" s="160"/>
    </row>
    <row r="66" spans="1:10">
      <c r="B66" s="160"/>
      <c r="C66" s="160"/>
      <c r="D66" s="160"/>
      <c r="E66" s="160"/>
      <c r="F66" s="160"/>
      <c r="G66" s="160"/>
      <c r="H66" s="160"/>
      <c r="I66" s="160"/>
    </row>
    <row r="67" spans="1:10" ht="13.5" customHeight="1">
      <c r="A67" s="94"/>
      <c r="B67" s="160"/>
      <c r="C67" s="160"/>
      <c r="D67" s="160"/>
      <c r="E67" s="160"/>
      <c r="F67" s="160"/>
      <c r="G67" s="160"/>
      <c r="H67" s="160"/>
      <c r="I67" s="160"/>
      <c r="J67" s="161"/>
    </row>
    <row r="68" spans="1:10" ht="12.75" customHeight="1">
      <c r="B68" s="161"/>
      <c r="C68" s="161"/>
      <c r="D68" s="161"/>
      <c r="E68" s="161"/>
      <c r="F68" s="161"/>
      <c r="G68" s="161"/>
      <c r="H68" s="161"/>
      <c r="I68" s="161"/>
      <c r="J68" s="161"/>
    </row>
    <row r="69" spans="1:10">
      <c r="B69" s="161"/>
      <c r="C69" s="161"/>
      <c r="D69" s="161"/>
      <c r="E69" s="161"/>
      <c r="F69" s="161"/>
      <c r="G69" s="161"/>
      <c r="H69" s="161"/>
      <c r="I69" s="161"/>
      <c r="J69" s="161"/>
    </row>
  </sheetData>
  <sheetProtection sheet="1" objects="1" scenarios="1"/>
  <mergeCells count="3">
    <mergeCell ref="D12:F12"/>
    <mergeCell ref="G12:H12"/>
    <mergeCell ref="G18:H18"/>
  </mergeCells>
  <phoneticPr fontId="35" type="noConversion"/>
  <pageMargins left="0.98425196850393704" right="0.59055118110236227" top="0.98425196850393704" bottom="0.51181102362204722" header="0.51181102362204722" footer="0.51181102362204722"/>
  <pageSetup paperSize="9" scale="80" orientation="portrait" r:id="rId1"/>
  <headerFooter alignWithMargins="0">
    <oddFooter>&amp;F&amp;RSide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Drop Down 43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137160</xdr:rowOff>
                  </from>
                  <to>
                    <xdr:col>5</xdr:col>
                    <xdr:colOff>792480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Drop Down 78">
              <controlPr locked="0" defaultSize="0" autoFill="0" autoLine="0" autoPict="0" macro="[0]!Rullemenu78_Ændring">
                <anchor moveWithCells="1">
                  <from>
                    <xdr:col>3</xdr:col>
                    <xdr:colOff>22860</xdr:colOff>
                    <xdr:row>31</xdr:row>
                    <xdr:rowOff>152400</xdr:rowOff>
                  </from>
                  <to>
                    <xdr:col>4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" name="Drop Down 79">
              <controlPr locked="0" defaultSize="0" autoFill="0" autoLine="0" autoPict="0">
                <anchor moveWithCells="1">
                  <from>
                    <xdr:col>4</xdr:col>
                    <xdr:colOff>22860</xdr:colOff>
                    <xdr:row>31</xdr:row>
                    <xdr:rowOff>152400</xdr:rowOff>
                  </from>
                  <to>
                    <xdr:col>5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" name="Drop Down 80">
              <controlPr defaultSize="0" autoFill="0" autoLine="0" autoPict="0">
                <anchor moveWithCells="1">
                  <from>
                    <xdr:col>5</xdr:col>
                    <xdr:colOff>7620</xdr:colOff>
                    <xdr:row>31</xdr:row>
                    <xdr:rowOff>152400</xdr:rowOff>
                  </from>
                  <to>
                    <xdr:col>6</xdr:col>
                    <xdr:colOff>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" name="Drop Down 81">
              <controlPr defaultSize="0" autoFill="0" autoLine="0" autoPict="0">
                <anchor moveWithCells="1">
                  <from>
                    <xdr:col>6</xdr:col>
                    <xdr:colOff>7620</xdr:colOff>
                    <xdr:row>31</xdr:row>
                    <xdr:rowOff>152400</xdr:rowOff>
                  </from>
                  <to>
                    <xdr:col>7</xdr:col>
                    <xdr:colOff>22860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9" name="Drop Down 82">
              <controlPr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152400</xdr:rowOff>
                  </from>
                  <to>
                    <xdr:col>7</xdr:col>
                    <xdr:colOff>899160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" name="Drop Down 83">
              <controlPr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137160</xdr:rowOff>
                  </from>
                  <to>
                    <xdr:col>9</xdr:col>
                    <xdr:colOff>7620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" name="Drop Down 99">
              <controlPr defaultSize="0" autoLine="0" autoPict="0">
                <anchor moveWithCells="1">
                  <from>
                    <xdr:col>7</xdr:col>
                    <xdr:colOff>441960</xdr:colOff>
                    <xdr:row>14</xdr:row>
                    <xdr:rowOff>99060</xdr:rowOff>
                  </from>
                  <to>
                    <xdr:col>9</xdr:col>
                    <xdr:colOff>60960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2" name="Drop Down 105">
              <controlPr defaultSize="0" autoLine="0" autoPict="0">
                <anchor moveWithCells="1">
                  <from>
                    <xdr:col>8</xdr:col>
                    <xdr:colOff>60960</xdr:colOff>
                    <xdr:row>12</xdr:row>
                    <xdr:rowOff>121920</xdr:rowOff>
                  </from>
                  <to>
                    <xdr:col>9</xdr:col>
                    <xdr:colOff>60960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" name="Drop Down 134">
              <controlPr locked="0" defaultSize="0" autoFill="0" autoLine="0" autoPict="0">
                <anchor moveWithCells="1">
                  <from>
                    <xdr:col>8</xdr:col>
                    <xdr:colOff>60960</xdr:colOff>
                    <xdr:row>11</xdr:row>
                    <xdr:rowOff>0</xdr:rowOff>
                  </from>
                  <to>
                    <xdr:col>9</xdr:col>
                    <xdr:colOff>45720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" name="Drop Down 138">
              <controlPr defaultSize="0" autoLine="0" autoPict="0">
                <anchor moveWithCells="1">
                  <from>
                    <xdr:col>8</xdr:col>
                    <xdr:colOff>38100</xdr:colOff>
                    <xdr:row>16</xdr:row>
                    <xdr:rowOff>99060</xdr:rowOff>
                  </from>
                  <to>
                    <xdr:col>9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6" transitionEvaluation="1" codeName="Ark2"/>
  <dimension ref="A1:T634"/>
  <sheetViews>
    <sheetView showGridLines="0" topLeftCell="A6" zoomScale="68" zoomScaleNormal="68" zoomScalePageLayoutView="70" workbookViewId="0">
      <selection activeCell="C27" sqref="C27"/>
    </sheetView>
  </sheetViews>
  <sheetFormatPr defaultColWidth="12.5546875" defaultRowHeight="15"/>
  <cols>
    <col min="1" max="1" width="49.88671875" style="3" customWidth="1"/>
    <col min="2" max="2" width="13.6640625" style="3" customWidth="1"/>
    <col min="3" max="8" width="15.6640625" style="3" customWidth="1"/>
    <col min="9" max="9" width="5.109375" style="3" customWidth="1"/>
    <col min="10" max="11" width="12.5546875" style="3" customWidth="1"/>
    <col min="12" max="16384" width="12.5546875" style="3"/>
  </cols>
  <sheetData>
    <row r="1" spans="1:11" ht="39" customHeight="1">
      <c r="A1" s="138" t="str">
        <f>Indtastningsark!A1</f>
        <v>Grønt Regnskab 2022-23</v>
      </c>
      <c r="D1" s="58"/>
      <c r="E1" s="58"/>
      <c r="F1" s="58"/>
      <c r="H1" s="128"/>
      <c r="I1" s="58"/>
    </row>
    <row r="2" spans="1:11" ht="39" customHeight="1">
      <c r="A2" s="107" t="str">
        <f>Indtastningsark!D12</f>
        <v>Klimaly</v>
      </c>
      <c r="B2" s="107"/>
      <c r="C2" s="58"/>
      <c r="D2" s="58"/>
      <c r="E2" s="70"/>
      <c r="G2" s="127"/>
      <c r="H2" s="137" t="s">
        <v>56</v>
      </c>
      <c r="I2" s="70"/>
    </row>
    <row r="3" spans="1:11" ht="39" customHeight="1">
      <c r="A3" s="119"/>
      <c r="B3"/>
      <c r="C3"/>
      <c r="D3"/>
      <c r="E3" s="58"/>
      <c r="F3" s="58"/>
      <c r="G3" s="70"/>
      <c r="H3" s="70"/>
      <c r="I3" s="70"/>
    </row>
    <row r="4" spans="1:11" ht="19.5" customHeight="1">
      <c r="A4" s="136"/>
      <c r="B4" s="1"/>
      <c r="C4" s="2"/>
      <c r="D4" s="2"/>
      <c r="E4" s="30"/>
      <c r="F4" s="30"/>
      <c r="G4" s="70"/>
      <c r="H4" s="70"/>
      <c r="I4" s="70"/>
    </row>
    <row r="5" spans="1:11" ht="24" customHeight="1" thickBot="1">
      <c r="A5" s="4"/>
      <c r="B5" s="4"/>
      <c r="C5" s="4"/>
      <c r="D5" s="31" t="s">
        <v>402</v>
      </c>
      <c r="E5" s="31" t="s">
        <v>403</v>
      </c>
      <c r="F5" s="31" t="s">
        <v>442</v>
      </c>
      <c r="G5" s="31" t="s">
        <v>446</v>
      </c>
      <c r="H5" s="31" t="s">
        <v>421</v>
      </c>
    </row>
    <row r="6" spans="1:11" ht="19.5" customHeight="1" thickBot="1">
      <c r="A6" s="236"/>
      <c r="B6" s="281"/>
      <c r="C6" s="278" t="str">
        <f>VLOOKUP(Indtastningsark!I11,'Graddage mv.'!A7:B25,2)</f>
        <v>2022-23</v>
      </c>
      <c r="D6" s="263">
        <f ca="1">H29</f>
        <v>4143.8402741887221</v>
      </c>
      <c r="E6" s="265">
        <f>H38</f>
        <v>886.80738786279687</v>
      </c>
      <c r="F6" s="75">
        <f>H46</f>
        <v>37.387862796833772</v>
      </c>
      <c r="G6" s="74">
        <f>H56</f>
        <v>312.66490765171505</v>
      </c>
      <c r="H6" s="76">
        <f ca="1">H64</f>
        <v>0.13007527154503243</v>
      </c>
      <c r="I6" s="6"/>
    </row>
    <row r="7" spans="1:11" ht="15" customHeight="1">
      <c r="A7" s="4"/>
      <c r="B7" s="4"/>
      <c r="C7" s="4"/>
      <c r="D7" s="4"/>
      <c r="E7" s="4"/>
      <c r="F7" s="4"/>
      <c r="G7" s="4"/>
      <c r="H7" s="4"/>
    </row>
    <row r="8" spans="1:11" ht="19.5" customHeight="1">
      <c r="A8" s="233"/>
      <c r="B8" s="4"/>
      <c r="C8" s="165">
        <f>IF(ISTEXT(Indtastningsark!D31),Indtastningsark!D31,Indtastningsark!D33)</f>
        <v>2019</v>
      </c>
      <c r="D8" s="165">
        <f>IF(ISTEXT(Indtastningsark!E31),Indtastningsark!E31,Indtastningsark!E33)</f>
        <v>2020</v>
      </c>
      <c r="E8" s="165">
        <f>IF(ISTEXT(Indtastningsark!F31),Indtastningsark!F31,Indtastningsark!F33)</f>
        <v>2021</v>
      </c>
      <c r="F8" s="165">
        <f>IF(ISTEXT(Indtastningsark!G31),Indtastningsark!G31,Indtastningsark!G33)</f>
        <v>2022</v>
      </c>
      <c r="G8" s="166">
        <f>IF(ISTEXT(Indtastningsark!H31),Indtastningsark!H31,Indtastningsark!H33)</f>
        <v>2023</v>
      </c>
      <c r="H8" s="166">
        <f>IF(ISTEXT(Indtastningsark!I31),Indtastningsark!I31,Indtastningsark!I33)</f>
        <v>2024</v>
      </c>
      <c r="I8" s="146"/>
    </row>
    <row r="9" spans="1:11" ht="15" customHeight="1">
      <c r="A9" s="4"/>
      <c r="B9" s="4"/>
      <c r="C9" s="143"/>
      <c r="D9" s="143"/>
      <c r="E9" s="143"/>
      <c r="F9" s="143"/>
      <c r="G9" s="144"/>
      <c r="H9" s="147"/>
    </row>
    <row r="10" spans="1:11" ht="20.100000000000001" customHeight="1">
      <c r="A10" s="35" t="s">
        <v>57</v>
      </c>
      <c r="B10" s="53" t="s">
        <v>422</v>
      </c>
      <c r="C10" s="152">
        <f>Indtastningsark!D38</f>
        <v>14900</v>
      </c>
      <c r="D10" s="152">
        <f>Indtastningsark!E38</f>
        <v>14900</v>
      </c>
      <c r="E10" s="152">
        <f>Indtastningsark!F38</f>
        <v>14900</v>
      </c>
      <c r="F10" s="152">
        <f>Indtastningsark!G38</f>
        <v>14900</v>
      </c>
      <c r="G10" s="266">
        <f>Indtastningsark!H38</f>
        <v>14900</v>
      </c>
      <c r="H10" s="153">
        <f>Indtastningsark!I38</f>
        <v>14900</v>
      </c>
      <c r="I10" s="268"/>
    </row>
    <row r="11" spans="1:11" ht="20.100000000000001" customHeight="1">
      <c r="A11" s="37" t="s">
        <v>58</v>
      </c>
      <c r="B11" s="55"/>
      <c r="C11" s="153">
        <f>Indtastningsark!D39</f>
        <v>375</v>
      </c>
      <c r="D11" s="153">
        <f>Indtastningsark!E39</f>
        <v>377</v>
      </c>
      <c r="E11" s="153">
        <f>Indtastningsark!F39</f>
        <v>379</v>
      </c>
      <c r="F11" s="153">
        <f>Indtastningsark!G39</f>
        <v>382</v>
      </c>
      <c r="G11" s="267">
        <f>Indtastningsark!H39</f>
        <v>379</v>
      </c>
      <c r="H11" s="153">
        <f>Indtastningsark!I39</f>
        <v>379</v>
      </c>
      <c r="I11" s="268"/>
    </row>
    <row r="12" spans="1:11" ht="20.100000000000001" customHeight="1">
      <c r="A12" s="4"/>
      <c r="B12" s="4"/>
      <c r="D12" s="231"/>
      <c r="E12" s="231"/>
      <c r="F12" s="231"/>
      <c r="G12" s="231"/>
      <c r="H12" s="231"/>
    </row>
    <row r="13" spans="1:11" ht="20.100000000000001" customHeight="1">
      <c r="A13" s="230"/>
    </row>
    <row r="14" spans="1:11" ht="20.100000000000001" customHeight="1">
      <c r="A14" s="35" t="s">
        <v>436</v>
      </c>
      <c r="B14" s="36" t="s">
        <v>59</v>
      </c>
      <c r="C14" s="167">
        <f>Indtastningsark!D43</f>
        <v>1470</v>
      </c>
      <c r="D14" s="167">
        <f>Indtastningsark!E43</f>
        <v>1460</v>
      </c>
      <c r="E14" s="167">
        <f>Indtastningsark!F43</f>
        <v>1424</v>
      </c>
      <c r="F14" s="167">
        <f>Indtastningsark!G43</f>
        <v>1418</v>
      </c>
      <c r="G14" s="167">
        <f>Indtastningsark!H43</f>
        <v>1450</v>
      </c>
      <c r="H14" s="167">
        <f>Indtastningsark!I43</f>
        <v>1380</v>
      </c>
      <c r="I14" s="7"/>
    </row>
    <row r="15" spans="1:11" ht="20.100000000000001" customHeight="1">
      <c r="A15" s="38" t="s">
        <v>440</v>
      </c>
      <c r="B15" s="5" t="s">
        <v>59</v>
      </c>
      <c r="C15" s="167">
        <f>Indtastningsark!D44*0.01*0.75</f>
        <v>0</v>
      </c>
      <c r="D15" s="167">
        <f>Indtastningsark!E44*0.01*0.75</f>
        <v>0</v>
      </c>
      <c r="E15" s="167">
        <f>Indtastningsark!F44*0.01*0.75</f>
        <v>0</v>
      </c>
      <c r="F15" s="167">
        <f>Indtastningsark!G44*0.01*0.75</f>
        <v>0</v>
      </c>
      <c r="G15" s="167">
        <f>Indtastningsark!H44*0.01*0.75</f>
        <v>0</v>
      </c>
      <c r="H15" s="167">
        <f>Indtastningsark!I44*0.01*0.75</f>
        <v>0</v>
      </c>
      <c r="I15" s="7"/>
      <c r="K15" s="9"/>
    </row>
    <row r="16" spans="1:11" ht="20.100000000000001" customHeight="1">
      <c r="A16" s="38" t="s">
        <v>62</v>
      </c>
      <c r="B16" s="5" t="s">
        <v>59</v>
      </c>
      <c r="C16" s="167">
        <f>Indtastningsark!D45*0.011*0.8</f>
        <v>0</v>
      </c>
      <c r="D16" s="167">
        <f>Indtastningsark!E45*0.011*0.8</f>
        <v>0</v>
      </c>
      <c r="E16" s="167">
        <f>Indtastningsark!F45*0.011*0.8</f>
        <v>0</v>
      </c>
      <c r="F16" s="167">
        <f>Indtastningsark!G45*0.011*0.8</f>
        <v>0</v>
      </c>
      <c r="G16" s="167">
        <f>Indtastningsark!H45*0.011*0.8</f>
        <v>0</v>
      </c>
      <c r="H16" s="167">
        <f>Indtastningsark!I45*0.011*0.8</f>
        <v>0</v>
      </c>
      <c r="I16" s="7"/>
      <c r="K16" s="9"/>
    </row>
    <row r="17" spans="1:20" ht="20.100000000000001" customHeight="1">
      <c r="A17" s="38" t="s">
        <v>1</v>
      </c>
      <c r="B17" s="5" t="s">
        <v>59</v>
      </c>
      <c r="C17" s="420">
        <f>Indtastningsark!D46*VLOOKUP(Indtastningsark!$I$17,'Graddage mv.'!$U$10:$W$15,3,FALSE)/1000</f>
        <v>0</v>
      </c>
      <c r="D17" s="420">
        <f>Indtastningsark!E46*VLOOKUP(Indtastningsark!$I$17,'Graddage mv.'!$U$10:$W$15,3,FALSE)/1000</f>
        <v>0</v>
      </c>
      <c r="E17" s="420">
        <f>Indtastningsark!F46*VLOOKUP(Indtastningsark!$I$17,'Graddage mv.'!$U$10:$W$15,3,FALSE)/1000</f>
        <v>0</v>
      </c>
      <c r="F17" s="420">
        <f>Indtastningsark!G46*VLOOKUP(Indtastningsark!$I$17,'Graddage mv.'!$U$10:$W$15,3,FALSE)/1000</f>
        <v>0</v>
      </c>
      <c r="G17" s="420">
        <f>Indtastningsark!H46*VLOOKUP(Indtastningsark!$I$17,'Graddage mv.'!$U$10:$W$15,3,FALSE)/1000</f>
        <v>0</v>
      </c>
      <c r="H17" s="420">
        <f>Indtastningsark!I46*VLOOKUP(Indtastningsark!$I$17,'Graddage mv.'!$U$10:$W$15,3,FALSE)/1000</f>
        <v>0</v>
      </c>
      <c r="I17" s="7"/>
      <c r="K17" s="9"/>
    </row>
    <row r="18" spans="1:20" ht="20.100000000000001" customHeight="1">
      <c r="A18" s="38" t="s">
        <v>504</v>
      </c>
      <c r="B18" s="5" t="s">
        <v>59</v>
      </c>
      <c r="C18" s="167">
        <f>Indtastningsark!D47/1000</f>
        <v>0</v>
      </c>
      <c r="D18" s="167">
        <f>Indtastningsark!E47/1000</f>
        <v>0</v>
      </c>
      <c r="E18" s="167">
        <f>Indtastningsark!F47/1000</f>
        <v>0</v>
      </c>
      <c r="F18" s="167">
        <f>Indtastningsark!G47/1000</f>
        <v>0</v>
      </c>
      <c r="G18" s="167">
        <f>Indtastningsark!H47/1000</f>
        <v>0</v>
      </c>
      <c r="H18" s="167">
        <f>Indtastningsark!I47/1000</f>
        <v>0</v>
      </c>
      <c r="I18" s="7"/>
      <c r="K18" s="9"/>
    </row>
    <row r="19" spans="1:20" ht="20.100000000000001" customHeight="1">
      <c r="A19" s="38" t="s">
        <v>491</v>
      </c>
      <c r="B19" s="5" t="s">
        <v>59</v>
      </c>
      <c r="C19" s="167">
        <f>'BASIS-X-regneark '!C14+'BASIS-X-regneark '!C15+'BASIS-X-regneark '!C16</f>
        <v>0</v>
      </c>
      <c r="D19" s="167">
        <f>'BASIS-X-regneark '!D14+'BASIS-X-regneark '!D15+'BASIS-X-regneark '!D16</f>
        <v>265</v>
      </c>
      <c r="E19" s="167">
        <f>'BASIS-X-regneark '!E14+'BASIS-X-regneark '!E15+'BASIS-X-regneark '!E16</f>
        <v>288</v>
      </c>
      <c r="F19" s="167">
        <f>'BASIS-X-regneark '!F14+'BASIS-X-regneark '!F15+'BASIS-X-regneark '!F16</f>
        <v>265</v>
      </c>
      <c r="G19" s="167">
        <f>'BASIS-X-regneark '!G14+'BASIS-X-regneark '!G15+'BASIS-X-regneark '!G16</f>
        <v>303</v>
      </c>
      <c r="H19" s="167">
        <f>'BASIS-X-regneark '!H14+'BASIS-X-regneark '!H15+'BASIS-X-regneark '!H16</f>
        <v>296</v>
      </c>
      <c r="I19" s="7"/>
      <c r="K19" s="9"/>
    </row>
    <row r="20" spans="1:20" ht="20.100000000000001" customHeight="1">
      <c r="A20" s="37" t="s">
        <v>63</v>
      </c>
      <c r="B20" s="55" t="s">
        <v>59</v>
      </c>
      <c r="C20" s="167">
        <f>SUM(C14:C18)</f>
        <v>1470</v>
      </c>
      <c r="D20" s="167">
        <f t="shared" ref="D20:H20" si="0">SUM(D14:D18)</f>
        <v>1460</v>
      </c>
      <c r="E20" s="167">
        <f t="shared" si="0"/>
        <v>1424</v>
      </c>
      <c r="F20" s="167">
        <f t="shared" si="0"/>
        <v>1418</v>
      </c>
      <c r="G20" s="167">
        <f t="shared" si="0"/>
        <v>1450</v>
      </c>
      <c r="H20" s="167">
        <f t="shared" si="0"/>
        <v>1380</v>
      </c>
      <c r="I20" s="7"/>
      <c r="J20" s="16"/>
      <c r="K20" s="14"/>
      <c r="L20" s="14"/>
      <c r="M20" s="14"/>
      <c r="N20" s="14"/>
      <c r="O20" s="14"/>
      <c r="P20" s="14"/>
    </row>
    <row r="21" spans="1:20" ht="20.100000000000001" customHeight="1">
      <c r="A21" s="38" t="s">
        <v>396</v>
      </c>
      <c r="B21" s="5" t="s">
        <v>59</v>
      </c>
      <c r="C21" s="262">
        <f ca="1">VLOOKUP(Indtastningsark!$I$15,'Graddage mv.'!$U$18:$AB$24,CELL("kolonne",C21))</f>
        <v>250</v>
      </c>
      <c r="D21" s="262">
        <f ca="1">VLOOKUP(Indtastningsark!$I$15,'Graddage mv.'!$U$18:$AB$24,CELL("kolonne",D21))</f>
        <v>244</v>
      </c>
      <c r="E21" s="262">
        <f ca="1">VLOOKUP(Indtastningsark!$I$15,'Graddage mv.'!$U$18:$AB$24,CELL("kolonne",E21))</f>
        <v>230</v>
      </c>
      <c r="F21" s="262">
        <f ca="1">VLOOKUP(Indtastningsark!$I$15,'Graddage mv.'!$U$18:$AB$24,CELL("kolonne",F21))</f>
        <v>240</v>
      </c>
      <c r="G21" s="262">
        <f ca="1">VLOOKUP(Indtastningsark!$I$15,'Graddage mv.'!$U$18:$AB$24,CELL("kolonne",G21))</f>
        <v>235</v>
      </c>
      <c r="H21" s="262">
        <f ca="1">VLOOKUP(Indtastningsark!$I$15,'Graddage mv.'!$U$18:$AB$24,CELL("kolonne",H21))</f>
        <v>225</v>
      </c>
      <c r="I21" s="7"/>
      <c r="J21" s="17"/>
      <c r="K21" s="18"/>
      <c r="L21" s="18"/>
      <c r="M21" s="18"/>
      <c r="N21" s="18"/>
      <c r="O21" s="18"/>
      <c r="P21" s="18"/>
    </row>
    <row r="22" spans="1:20" ht="20.100000000000001" customHeight="1">
      <c r="A22" s="229" t="str">
        <f>Indtastningsark!B34</f>
        <v>Graddagetal (normal 2599)</v>
      </c>
      <c r="B22" s="4"/>
      <c r="C22" s="169">
        <f>Indtastningsark!D34</f>
        <v>2237</v>
      </c>
      <c r="D22" s="169">
        <f>Indtastningsark!E34</f>
        <v>2326</v>
      </c>
      <c r="E22" s="169">
        <f>Indtastningsark!F34</f>
        <v>2590</v>
      </c>
      <c r="F22" s="169">
        <f>Indtastningsark!G34</f>
        <v>2178</v>
      </c>
      <c r="G22" s="169">
        <f>Indtastningsark!H34</f>
        <v>2366</v>
      </c>
      <c r="H22" s="169">
        <f>Indtastningsark!I34</f>
        <v>2231</v>
      </c>
      <c r="I22" s="7"/>
      <c r="J22" s="17"/>
      <c r="K22" s="18"/>
      <c r="L22" s="18"/>
      <c r="M22" s="18"/>
      <c r="N22" s="18"/>
      <c r="O22" s="18"/>
      <c r="P22" s="18"/>
    </row>
    <row r="23" spans="1:20" ht="20.100000000000001" customHeight="1">
      <c r="A23" s="37" t="s">
        <v>64</v>
      </c>
      <c r="B23" s="15" t="s">
        <v>59</v>
      </c>
      <c r="C23" s="169">
        <f ca="1">IF(C22&gt;0,(C20-C21)/Indtastningsark!D34*Indtastningsark!$B$31+C21)</f>
        <v>1667.4251229324989</v>
      </c>
      <c r="D23" s="169">
        <f ca="1">IF(D22&gt;0,(D20-D21)/Indtastningsark!E34*Indtastningsark!$B$31+D21)</f>
        <v>1602.7205503009457</v>
      </c>
      <c r="E23" s="169">
        <f ca="1">IF(E22&gt;0,(E20-E21)/Indtastningsark!F34*Indtastningsark!$B$31+E21)</f>
        <v>1428.1490347490346</v>
      </c>
      <c r="F23" s="169">
        <f ca="1">IF(F22&gt;0,(F20-F21)/Indtastningsark!G34*Indtastningsark!$B$31+F21)</f>
        <v>1645.7033976124883</v>
      </c>
      <c r="G23" s="169">
        <f ca="1">IF(G22&gt;0,(G20-G21)/Indtastningsark!H34*Indtastningsark!$B$31+G21)</f>
        <v>1569.6513102282333</v>
      </c>
      <c r="H23" s="169">
        <f ca="1">IF(H22&gt;0,(H20-H21)/Indtastningsark!I34*Indtastningsark!$B$31+H21)</f>
        <v>1570.5154639175257</v>
      </c>
      <c r="I23" s="7"/>
      <c r="J23" s="19"/>
      <c r="K23" s="20"/>
      <c r="L23" s="20"/>
      <c r="M23" s="20"/>
      <c r="N23" s="20"/>
      <c r="O23" s="20"/>
      <c r="P23" s="21"/>
    </row>
    <row r="24" spans="1:20" ht="20.100000000000001" customHeight="1">
      <c r="A24" s="38" t="s">
        <v>65</v>
      </c>
      <c r="B24" s="4" t="s">
        <v>68</v>
      </c>
      <c r="C24" s="171">
        <f ca="1">IF(C10&gt;0,(C23-C21)/C10*1000," ")</f>
        <v>95.129202881375761</v>
      </c>
      <c r="D24" s="171">
        <f ca="1">IF(D10&gt;0,(D23-D21)/D10*1000," ")</f>
        <v>91.189298677915829</v>
      </c>
      <c r="E24" s="171">
        <f t="shared" ref="E24:H24" ca="1" si="1">IF(E10&gt;0,(E23-E21)/E10*1000," ")</f>
        <v>80.412686895908365</v>
      </c>
      <c r="F24" s="171">
        <f t="shared" ca="1" si="1"/>
        <v>94.342509906878405</v>
      </c>
      <c r="G24" s="171">
        <f t="shared" ca="1" si="1"/>
        <v>89.573913438136458</v>
      </c>
      <c r="H24" s="171">
        <f t="shared" ca="1" si="1"/>
        <v>90.303051269632604</v>
      </c>
      <c r="I24" s="7"/>
      <c r="J24" s="16"/>
      <c r="K24" s="14"/>
      <c r="L24" s="14"/>
      <c r="M24" s="14"/>
      <c r="N24" s="14"/>
      <c r="O24" s="14"/>
      <c r="P24" s="14"/>
    </row>
    <row r="25" spans="1:20" ht="20.100000000000001" customHeight="1">
      <c r="A25" s="38" t="s">
        <v>66</v>
      </c>
      <c r="B25" s="4" t="s">
        <v>68</v>
      </c>
      <c r="C25" s="171">
        <f ca="1">IF(C10&gt;0,C21/C10*1000," ")</f>
        <v>16.778523489932887</v>
      </c>
      <c r="D25" s="171">
        <f t="shared" ref="D25:H25" ca="1" si="2">IF(D10&gt;0,D21/D10*1000," ")</f>
        <v>16.375838926174495</v>
      </c>
      <c r="E25" s="171">
        <f t="shared" ca="1" si="2"/>
        <v>15.436241610738255</v>
      </c>
      <c r="F25" s="171">
        <f t="shared" ca="1" si="2"/>
        <v>16.107382550335572</v>
      </c>
      <c r="G25" s="171">
        <f t="shared" ca="1" si="2"/>
        <v>15.771812080536913</v>
      </c>
      <c r="H25" s="171">
        <f t="shared" ca="1" si="2"/>
        <v>15.100671140939598</v>
      </c>
      <c r="I25" s="7"/>
      <c r="J25" s="16"/>
      <c r="K25" s="14"/>
      <c r="L25" s="14"/>
      <c r="M25" s="14"/>
      <c r="N25" s="14"/>
      <c r="O25" s="14"/>
      <c r="P25" s="14"/>
    </row>
    <row r="26" spans="1:20" ht="20.100000000000001" customHeight="1">
      <c r="A26" s="37" t="s">
        <v>595</v>
      </c>
      <c r="B26" s="15" t="s">
        <v>68</v>
      </c>
      <c r="C26" s="171">
        <f ca="1">IF(C10&gt;0,C23/C10*1000," ")</f>
        <v>111.90772637130866</v>
      </c>
      <c r="D26" s="171">
        <f t="shared" ref="D26:H26" ca="1" si="3">IF(D10&gt;0,D23/D10*1000," ")</f>
        <v>107.56513760409031</v>
      </c>
      <c r="E26" s="171">
        <f t="shared" ca="1" si="3"/>
        <v>95.848928506646615</v>
      </c>
      <c r="F26" s="171">
        <f t="shared" ca="1" si="3"/>
        <v>110.44989245721398</v>
      </c>
      <c r="G26" s="171">
        <f t="shared" ca="1" si="3"/>
        <v>105.34572551867339</v>
      </c>
      <c r="H26" s="171">
        <f t="shared" ca="1" si="3"/>
        <v>105.40372241057219</v>
      </c>
      <c r="I26" s="7"/>
      <c r="J26" s="22"/>
      <c r="K26" s="23"/>
      <c r="L26" s="23"/>
      <c r="M26" s="23"/>
      <c r="N26" s="23"/>
      <c r="O26" s="23"/>
      <c r="P26" s="24"/>
      <c r="Q26" s="10"/>
      <c r="R26" s="10"/>
      <c r="S26" s="10"/>
      <c r="T26" s="6"/>
    </row>
    <row r="27" spans="1:20" ht="20.100000000000001" customHeight="1">
      <c r="A27" s="38" t="s">
        <v>65</v>
      </c>
      <c r="B27" s="4" t="s">
        <v>68</v>
      </c>
      <c r="C27" s="428">
        <f ca="1">IF(C11&gt;0,(C23-C21)/C11*1000," ")</f>
        <v>3779.8003278199972</v>
      </c>
      <c r="D27" s="428">
        <f t="shared" ref="D27:H27" ca="1" si="4">IF(D11&gt;0,(D23-D21)/D11*1000," ")</f>
        <v>3604.0332899229325</v>
      </c>
      <c r="E27" s="428">
        <f t="shared" ca="1" si="4"/>
        <v>3161.3430996016746</v>
      </c>
      <c r="F27" s="428">
        <f t="shared" ca="1" si="4"/>
        <v>3679.8518262107023</v>
      </c>
      <c r="G27" s="428">
        <f t="shared" ca="1" si="4"/>
        <v>3521.5074148502199</v>
      </c>
      <c r="H27" s="428">
        <f t="shared" ca="1" si="4"/>
        <v>3550.1727280145797</v>
      </c>
      <c r="I27" s="7"/>
      <c r="J27" s="22"/>
      <c r="K27" s="23"/>
      <c r="L27" s="23"/>
      <c r="M27" s="23"/>
      <c r="N27" s="23"/>
      <c r="O27" s="23"/>
      <c r="P27" s="24"/>
      <c r="Q27" s="10"/>
      <c r="R27" s="10"/>
      <c r="S27" s="10"/>
      <c r="T27" s="6"/>
    </row>
    <row r="28" spans="1:20" ht="20.100000000000001" customHeight="1">
      <c r="A28" s="38" t="s">
        <v>66</v>
      </c>
      <c r="B28" s="4" t="s">
        <v>68</v>
      </c>
      <c r="C28" s="428">
        <f ca="1">IF(C11&gt;0,C21/C11*1000," ")</f>
        <v>666.66666666666663</v>
      </c>
      <c r="D28" s="428">
        <f t="shared" ref="D28:H28" ca="1" si="5">IF(D11&gt;0,D21/D11*1000," ")</f>
        <v>647.21485411140588</v>
      </c>
      <c r="E28" s="428">
        <f t="shared" ca="1" si="5"/>
        <v>606.86015831134569</v>
      </c>
      <c r="F28" s="428">
        <f t="shared" ca="1" si="5"/>
        <v>628.27225130890054</v>
      </c>
      <c r="G28" s="428">
        <f t="shared" ca="1" si="5"/>
        <v>620.05277044854881</v>
      </c>
      <c r="H28" s="428">
        <f t="shared" ca="1" si="5"/>
        <v>593.66754617414256</v>
      </c>
      <c r="I28" s="282"/>
      <c r="J28" s="24"/>
      <c r="K28" s="25"/>
      <c r="L28" s="25"/>
      <c r="M28" s="25"/>
      <c r="N28" s="25"/>
      <c r="O28" s="25"/>
      <c r="P28" s="25"/>
      <c r="Q28" s="11"/>
      <c r="R28" s="10"/>
      <c r="S28" s="10"/>
      <c r="T28" s="6"/>
    </row>
    <row r="29" spans="1:20" ht="20.100000000000001" customHeight="1">
      <c r="A29" s="39" t="s">
        <v>67</v>
      </c>
      <c r="B29" s="40" t="s">
        <v>68</v>
      </c>
      <c r="C29" s="429">
        <f ca="1">IF(C11&gt;0,C23/C11*1000," ")</f>
        <v>4446.4669944866637</v>
      </c>
      <c r="D29" s="429">
        <f t="shared" ref="D29:H29" ca="1" si="6">IF(D11&gt;0,D23/D11*1000," ")</f>
        <v>4251.248144034339</v>
      </c>
      <c r="E29" s="429">
        <f t="shared" ca="1" si="6"/>
        <v>3768.20325791302</v>
      </c>
      <c r="F29" s="429">
        <f t="shared" ca="1" si="6"/>
        <v>4308.1240775196029</v>
      </c>
      <c r="G29" s="429">
        <f t="shared" ca="1" si="6"/>
        <v>4141.5601852987684</v>
      </c>
      <c r="H29" s="429">
        <f t="shared" ca="1" si="6"/>
        <v>4143.8402741887221</v>
      </c>
      <c r="I29" s="282"/>
      <c r="K29" s="6"/>
      <c r="L29" s="6"/>
      <c r="M29" s="6"/>
      <c r="N29" s="6"/>
      <c r="O29" s="6"/>
      <c r="P29" s="6"/>
      <c r="Q29" s="6"/>
      <c r="R29" s="6"/>
      <c r="S29" s="6"/>
    </row>
    <row r="30" spans="1:20" ht="20.100000000000001" customHeight="1">
      <c r="A30" s="41"/>
      <c r="B30" s="41"/>
      <c r="C30" s="42"/>
      <c r="D30" s="42"/>
      <c r="E30" s="42"/>
      <c r="F30" s="42"/>
      <c r="G30" s="80"/>
      <c r="H30" s="42"/>
      <c r="K30" s="6"/>
      <c r="L30" s="6"/>
      <c r="M30" s="6"/>
      <c r="N30" s="6"/>
      <c r="O30" s="6"/>
      <c r="P30" s="6"/>
      <c r="Q30" s="6"/>
      <c r="R30" s="6"/>
      <c r="S30" s="6"/>
    </row>
    <row r="31" spans="1:20" ht="20.100000000000001" customHeight="1">
      <c r="A31" s="43" t="s">
        <v>386</v>
      </c>
      <c r="B31" s="4"/>
      <c r="C31" s="4"/>
      <c r="D31" s="4"/>
      <c r="E31" s="4"/>
      <c r="F31" s="4"/>
      <c r="G31" s="79"/>
      <c r="H31" s="4"/>
    </row>
    <row r="32" spans="1:20" ht="20.100000000000001" customHeight="1">
      <c r="A32" s="35" t="s">
        <v>603</v>
      </c>
      <c r="B32" s="36" t="s">
        <v>68</v>
      </c>
      <c r="C32" s="428">
        <f>Indtastningsark!D51</f>
        <v>80050</v>
      </c>
      <c r="D32" s="428">
        <f>Indtastningsark!E51</f>
        <v>81000</v>
      </c>
      <c r="E32" s="428">
        <f>Indtastningsark!F51</f>
        <v>77000</v>
      </c>
      <c r="F32" s="428">
        <f>Indtastningsark!G51</f>
        <v>76000</v>
      </c>
      <c r="G32" s="428">
        <f>Indtastningsark!H51</f>
        <v>75600</v>
      </c>
      <c r="H32" s="428">
        <f>Indtastningsark!I51</f>
        <v>75100</v>
      </c>
      <c r="I32" s="7"/>
    </row>
    <row r="33" spans="1:20" ht="20.100000000000001" customHeight="1">
      <c r="A33" s="38" t="s">
        <v>602</v>
      </c>
      <c r="B33" s="4" t="s">
        <v>68</v>
      </c>
      <c r="C33" s="428">
        <f>Indtastningsark!D52</f>
        <v>278000</v>
      </c>
      <c r="D33" s="428">
        <f>Indtastningsark!E52</f>
        <v>275000</v>
      </c>
      <c r="E33" s="428">
        <f>Indtastningsark!F52</f>
        <v>270000</v>
      </c>
      <c r="F33" s="428">
        <f>Indtastningsark!G52</f>
        <v>151000</v>
      </c>
      <c r="G33" s="428">
        <f>Indtastningsark!H52</f>
        <v>148000</v>
      </c>
      <c r="H33" s="428">
        <f>Indtastningsark!I52</f>
        <v>126000</v>
      </c>
      <c r="I33" s="7"/>
    </row>
    <row r="34" spans="1:20" ht="20.100000000000001" customHeight="1">
      <c r="A34" s="4" t="s">
        <v>605</v>
      </c>
      <c r="B34" s="4" t="s">
        <v>68</v>
      </c>
      <c r="C34" s="428">
        <f>Indtastningsark!D53</f>
        <v>0</v>
      </c>
      <c r="D34" s="428">
        <f>Indtastningsark!E53</f>
        <v>0</v>
      </c>
      <c r="E34" s="428">
        <f>Indtastningsark!F53</f>
        <v>0</v>
      </c>
      <c r="F34" s="438">
        <f>Indtastningsark!G53</f>
        <v>131000</v>
      </c>
      <c r="G34" s="438">
        <f>Indtastningsark!H53</f>
        <v>132000</v>
      </c>
      <c r="H34" s="438">
        <f>Indtastningsark!I53</f>
        <v>135000</v>
      </c>
      <c r="I34" s="7"/>
    </row>
    <row r="35" spans="1:20" ht="20.100000000000001" customHeight="1">
      <c r="A35" s="37" t="s">
        <v>397</v>
      </c>
      <c r="B35" s="55" t="s">
        <v>68</v>
      </c>
      <c r="C35" s="428">
        <f>SUM(C32:C34)</f>
        <v>358050</v>
      </c>
      <c r="D35" s="428">
        <f t="shared" ref="D35:E35" si="7">SUM(D32:D34)</f>
        <v>356000</v>
      </c>
      <c r="E35" s="428">
        <f t="shared" si="7"/>
        <v>347000</v>
      </c>
      <c r="F35" s="438">
        <f t="shared" ref="F35:H35" si="8">SUM(F32:F34)</f>
        <v>358000</v>
      </c>
      <c r="G35" s="438">
        <f t="shared" si="8"/>
        <v>355600</v>
      </c>
      <c r="H35" s="438">
        <f t="shared" si="8"/>
        <v>336100</v>
      </c>
      <c r="I35" s="7"/>
    </row>
    <row r="36" spans="1:20" ht="20.100000000000001" customHeight="1">
      <c r="A36" s="44" t="s">
        <v>398</v>
      </c>
      <c r="B36" s="45" t="s">
        <v>68</v>
      </c>
      <c r="C36" s="174">
        <f>IF(C10&gt;0,(C32)/C11," ")</f>
        <v>213.46666666666667</v>
      </c>
      <c r="D36" s="174">
        <f t="shared" ref="D36:H36" si="9">IF(D10&gt;0,(D32)/D11," ")</f>
        <v>214.85411140583554</v>
      </c>
      <c r="E36" s="174">
        <f t="shared" si="9"/>
        <v>203.16622691292875</v>
      </c>
      <c r="F36" s="174">
        <f t="shared" si="9"/>
        <v>198.95287958115182</v>
      </c>
      <c r="G36" s="174">
        <f t="shared" si="9"/>
        <v>199.47229551451187</v>
      </c>
      <c r="H36" s="174">
        <f t="shared" si="9"/>
        <v>198.15303430079155</v>
      </c>
      <c r="I36" s="7"/>
      <c r="J36"/>
      <c r="K36"/>
      <c r="L36"/>
      <c r="M36"/>
      <c r="N36"/>
      <c r="O36"/>
      <c r="P36"/>
      <c r="Q36"/>
    </row>
    <row r="37" spans="1:20" ht="20.100000000000001" customHeight="1">
      <c r="A37" s="46" t="s">
        <v>399</v>
      </c>
      <c r="B37" s="45" t="s">
        <v>68</v>
      </c>
      <c r="C37" s="174">
        <f>IF(C11&gt;0,(C33+C34)/C11," ")</f>
        <v>741.33333333333337</v>
      </c>
      <c r="D37" s="174">
        <f>IF(D11&gt;0,(D33+D34)/D11," ")</f>
        <v>729.44297082228115</v>
      </c>
      <c r="E37" s="174">
        <f t="shared" ref="E37:H37" si="10">IF(E11&gt;0,(E33+E34)/E11," ")</f>
        <v>712.40105540897093</v>
      </c>
      <c r="F37" s="174">
        <f t="shared" si="10"/>
        <v>738.21989528795814</v>
      </c>
      <c r="G37" s="174">
        <f t="shared" si="10"/>
        <v>738.7862796833773</v>
      </c>
      <c r="H37" s="174">
        <f t="shared" si="10"/>
        <v>688.65435356200533</v>
      </c>
      <c r="I37" s="7"/>
      <c r="J37"/>
      <c r="K37"/>
      <c r="L37"/>
      <c r="M37"/>
      <c r="N37"/>
      <c r="O37"/>
      <c r="P37"/>
      <c r="Q37"/>
      <c r="R37" s="11"/>
      <c r="S37" s="12"/>
      <c r="T37" s="6"/>
    </row>
    <row r="38" spans="1:20" ht="20.100000000000001" customHeight="1">
      <c r="A38" s="47" t="s">
        <v>411</v>
      </c>
      <c r="B38" s="48" t="s">
        <v>68</v>
      </c>
      <c r="C38" s="433">
        <f>SUM(C36:C37)</f>
        <v>954.80000000000007</v>
      </c>
      <c r="D38" s="433">
        <f t="shared" ref="D38:H38" si="11">SUM(D36:D37)</f>
        <v>944.29708222811666</v>
      </c>
      <c r="E38" s="433">
        <f t="shared" si="11"/>
        <v>915.56728232189971</v>
      </c>
      <c r="F38" s="433">
        <f t="shared" si="11"/>
        <v>937.17277486910996</v>
      </c>
      <c r="G38" s="433">
        <f t="shared" si="11"/>
        <v>938.25857519788917</v>
      </c>
      <c r="H38" s="433">
        <f t="shared" si="11"/>
        <v>886.80738786279687</v>
      </c>
      <c r="I38" s="7"/>
      <c r="J38"/>
      <c r="K38"/>
      <c r="L38"/>
      <c r="M38"/>
      <c r="N38"/>
      <c r="O38"/>
      <c r="P38"/>
      <c r="Q38"/>
      <c r="R38" s="11"/>
      <c r="S38" s="12"/>
      <c r="T38" s="6"/>
    </row>
    <row r="39" spans="1:20" ht="20.100000000000001" customHeight="1">
      <c r="A39" s="36"/>
      <c r="B39" s="36"/>
      <c r="C39" s="36"/>
      <c r="D39" s="36"/>
      <c r="E39" s="36"/>
      <c r="F39" s="36"/>
      <c r="G39" s="78"/>
      <c r="H39" s="36"/>
      <c r="J39"/>
      <c r="K39"/>
      <c r="L39"/>
      <c r="M39"/>
      <c r="N39"/>
      <c r="O39"/>
      <c r="P39"/>
      <c r="Q39"/>
    </row>
    <row r="40" spans="1:20" ht="20.100000000000001" customHeight="1">
      <c r="A40" s="32" t="s">
        <v>387</v>
      </c>
      <c r="B40" s="4"/>
      <c r="C40" s="4"/>
      <c r="D40" s="4"/>
      <c r="E40" s="4"/>
      <c r="F40" s="4"/>
      <c r="G40" s="79"/>
      <c r="H40" s="4"/>
      <c r="J40"/>
      <c r="K40"/>
      <c r="L40"/>
      <c r="M40"/>
      <c r="N40"/>
      <c r="O40"/>
      <c r="P40"/>
      <c r="Q40"/>
    </row>
    <row r="41" spans="1:20" ht="20.100000000000001" customHeight="1">
      <c r="A41" s="35" t="s">
        <v>93</v>
      </c>
      <c r="B41" s="36" t="s">
        <v>416</v>
      </c>
      <c r="C41" s="167">
        <f>Indtastningsark!D55</f>
        <v>11980</v>
      </c>
      <c r="D41" s="167">
        <f>Indtastningsark!E55</f>
        <v>11440</v>
      </c>
      <c r="E41" s="167">
        <f>Indtastningsark!F55</f>
        <v>12040</v>
      </c>
      <c r="F41" s="167">
        <f>Indtastningsark!G55</f>
        <v>12020</v>
      </c>
      <c r="G41" s="167">
        <f>Indtastningsark!H55</f>
        <v>11600</v>
      </c>
      <c r="H41" s="167">
        <f>Indtastningsark!I55</f>
        <v>11750</v>
      </c>
      <c r="I41" s="7"/>
      <c r="J41"/>
      <c r="K41"/>
      <c r="L41"/>
      <c r="M41"/>
      <c r="N41"/>
      <c r="O41"/>
      <c r="P41"/>
      <c r="Q41"/>
    </row>
    <row r="42" spans="1:20" ht="20.100000000000001" customHeight="1">
      <c r="A42" s="38" t="s">
        <v>489</v>
      </c>
      <c r="B42" s="5" t="s">
        <v>416</v>
      </c>
      <c r="C42" s="167">
        <f>'BASIS-X-regneark '!C35</f>
        <v>2250</v>
      </c>
      <c r="D42" s="167">
        <f>'BASIS-X-regneark '!D35</f>
        <v>2006</v>
      </c>
      <c r="E42" s="167">
        <f>'BASIS-X-regneark '!E35</f>
        <v>2340</v>
      </c>
      <c r="F42" s="167">
        <f>'BASIS-X-regneark '!F35</f>
        <v>2130</v>
      </c>
      <c r="G42" s="167">
        <f>'BASIS-X-regneark '!G35</f>
        <v>2490</v>
      </c>
      <c r="H42" s="167">
        <f>'BASIS-X-regneark '!H35</f>
        <v>2420</v>
      </c>
      <c r="I42" s="7"/>
      <c r="J42"/>
      <c r="K42"/>
      <c r="L42"/>
      <c r="M42"/>
      <c r="N42"/>
      <c r="O42"/>
      <c r="P42"/>
      <c r="Q42"/>
    </row>
    <row r="43" spans="1:20" s="414" customFormat="1" ht="20.100000000000001" customHeight="1">
      <c r="A43" s="37" t="s">
        <v>400</v>
      </c>
      <c r="B43" s="15" t="s">
        <v>416</v>
      </c>
      <c r="C43" s="167">
        <f>IF(Indtastningsark!$I$15=7,Indtastningsark!D55*0.3,IF(Indtastningsark!D56&gt;0,Indtastningsark!D56,1*C11*860/(65-10)))</f>
        <v>5863.636363636364</v>
      </c>
      <c r="D43" s="167">
        <f>IF(Indtastningsark!$I$15=7,Indtastningsark!E55*0.3,IF(Indtastningsark!E56&gt;0,Indtastningsark!E56,1*D11*860/(65-10)))</f>
        <v>5894.909090909091</v>
      </c>
      <c r="E43" s="167">
        <f>IF(Indtastningsark!$I$15=7,Indtastningsark!F55*0.3,IF(Indtastningsark!F56&gt;0,Indtastningsark!F56,1*E11*860/(65-10)))</f>
        <v>5926.181818181818</v>
      </c>
      <c r="F43" s="167">
        <f>IF(Indtastningsark!$I$15=7,Indtastningsark!G55*0.3,IF(Indtastningsark!G56&gt;0,Indtastningsark!G56,1*F11*860/(65-10)))</f>
        <v>5973.090909090909</v>
      </c>
      <c r="G43" s="167">
        <f>IF(Indtastningsark!$I$15=7,Indtastningsark!H55*0.3,IF(Indtastningsark!H56&gt;0,Indtastningsark!H56,1*G11*860/(65-10)))</f>
        <v>5926.181818181818</v>
      </c>
      <c r="H43" s="416">
        <f>IF(Indtastningsark!$I$15=7,Indtastningsark!I55*0.3,IF(Indtastningsark!I56&gt;0,Indtastningsark!I56,1*H11*860/(65-10)))</f>
        <v>5926.181818181818</v>
      </c>
      <c r="I43" s="415">
        <f>IF(Indtastningsark!O15=7,O15*0.3,IF(Indtastningsark!J56&gt;0,Indtastningsark!J56,1*I11*860/(65-10)))</f>
        <v>0</v>
      </c>
      <c r="J43" s="403"/>
      <c r="K43" s="403"/>
      <c r="L43" s="403"/>
      <c r="M43" s="403"/>
      <c r="N43" s="403"/>
      <c r="O43" s="403"/>
      <c r="P43" s="403"/>
      <c r="Q43" s="403"/>
    </row>
    <row r="44" spans="1:20" ht="20.100000000000001" customHeight="1">
      <c r="A44" s="38" t="s">
        <v>70</v>
      </c>
      <c r="B44" s="5" t="s">
        <v>416</v>
      </c>
      <c r="C44" s="174">
        <f t="shared" ref="C44:H44" si="12">IF(C11&gt;0,(C41+C42-C43)/C11," ")</f>
        <v>22.310303030303029</v>
      </c>
      <c r="D44" s="174">
        <f t="shared" si="12"/>
        <v>20.029418857005062</v>
      </c>
      <c r="E44" s="174">
        <f t="shared" si="12"/>
        <v>22.305588870232672</v>
      </c>
      <c r="F44" s="174">
        <f t="shared" si="12"/>
        <v>21.405521180390291</v>
      </c>
      <c r="G44" s="174">
        <f t="shared" si="12"/>
        <v>21.540417366274887</v>
      </c>
      <c r="H44" s="175">
        <f t="shared" si="12"/>
        <v>21.751499160470136</v>
      </c>
      <c r="I44" s="7"/>
      <c r="J44"/>
      <c r="K44"/>
      <c r="L44"/>
      <c r="M44"/>
      <c r="N44"/>
      <c r="O44"/>
      <c r="P44"/>
      <c r="Q44"/>
    </row>
    <row r="45" spans="1:20" ht="20.100000000000001" customHeight="1">
      <c r="A45" s="38" t="s">
        <v>66</v>
      </c>
      <c r="B45" s="5" t="s">
        <v>416</v>
      </c>
      <c r="C45" s="174">
        <f t="shared" ref="C45:H45" si="13">IF(C11&gt;0,C43/C11," ")</f>
        <v>15.636363636363637</v>
      </c>
      <c r="D45" s="174">
        <f t="shared" si="13"/>
        <v>15.636363636363637</v>
      </c>
      <c r="E45" s="174">
        <f t="shared" si="13"/>
        <v>15.636363636363637</v>
      </c>
      <c r="F45" s="174">
        <f t="shared" si="13"/>
        <v>15.636363636363637</v>
      </c>
      <c r="G45" s="174">
        <f t="shared" si="13"/>
        <v>15.636363636363637</v>
      </c>
      <c r="H45" s="175">
        <f t="shared" si="13"/>
        <v>15.636363636363637</v>
      </c>
      <c r="I45" s="7"/>
      <c r="J45"/>
      <c r="K45"/>
      <c r="L45"/>
      <c r="M45"/>
      <c r="N45"/>
      <c r="O45"/>
      <c r="P45"/>
      <c r="Q45"/>
    </row>
    <row r="46" spans="1:20" ht="20.100000000000001" customHeight="1">
      <c r="A46" s="56" t="s">
        <v>71</v>
      </c>
      <c r="B46" s="41" t="s">
        <v>417</v>
      </c>
      <c r="C46" s="205">
        <f t="shared" ref="C46:H46" si="14">SUM(C44:C45)</f>
        <v>37.946666666666665</v>
      </c>
      <c r="D46" s="205">
        <f t="shared" si="14"/>
        <v>35.665782493368695</v>
      </c>
      <c r="E46" s="205">
        <f t="shared" si="14"/>
        <v>37.941952506596309</v>
      </c>
      <c r="F46" s="205">
        <f t="shared" si="14"/>
        <v>37.041884816753928</v>
      </c>
      <c r="G46" s="205">
        <f t="shared" si="14"/>
        <v>37.176781002638521</v>
      </c>
      <c r="H46" s="206">
        <f t="shared" si="14"/>
        <v>37.387862796833772</v>
      </c>
      <c r="I46" s="7"/>
      <c r="J46"/>
      <c r="K46"/>
      <c r="L46"/>
      <c r="M46"/>
      <c r="N46"/>
      <c r="O46"/>
      <c r="P46"/>
      <c r="Q46"/>
    </row>
    <row r="47" spans="1:20" ht="20.100000000000001" customHeight="1">
      <c r="A47" s="92" t="s">
        <v>72</v>
      </c>
      <c r="B47" s="87" t="s">
        <v>61</v>
      </c>
      <c r="C47" s="176">
        <f t="shared" ref="C47:H47" si="15">C46*1000/365</f>
        <v>103.96347031963469</v>
      </c>
      <c r="D47" s="176">
        <f t="shared" si="15"/>
        <v>97.714472584571766</v>
      </c>
      <c r="E47" s="176">
        <f t="shared" si="15"/>
        <v>103.95055481259263</v>
      </c>
      <c r="F47" s="176">
        <f t="shared" si="15"/>
        <v>101.48461593631212</v>
      </c>
      <c r="G47" s="176">
        <f t="shared" si="15"/>
        <v>101.85419452777677</v>
      </c>
      <c r="H47" s="177">
        <f t="shared" si="15"/>
        <v>102.43250081324322</v>
      </c>
      <c r="I47" s="7"/>
      <c r="J47"/>
      <c r="K47"/>
      <c r="L47"/>
      <c r="M47"/>
      <c r="N47"/>
      <c r="O47"/>
      <c r="P47"/>
      <c r="Q47"/>
      <c r="R47" s="6"/>
      <c r="S47" s="6"/>
      <c r="T47" s="6"/>
    </row>
    <row r="48" spans="1:20" ht="20.100000000000001" customHeight="1">
      <c r="A48" s="4"/>
      <c r="B48" s="36"/>
      <c r="C48" s="36"/>
      <c r="D48" s="36"/>
      <c r="E48" s="36"/>
      <c r="F48" s="36"/>
      <c r="G48" s="78"/>
      <c r="H48" s="36"/>
      <c r="J48"/>
      <c r="K48"/>
      <c r="L48"/>
      <c r="M48"/>
      <c r="N48"/>
      <c r="O48"/>
      <c r="P48"/>
      <c r="Q48"/>
      <c r="R48" s="6"/>
      <c r="S48" s="6"/>
    </row>
    <row r="49" spans="1:20" ht="20.100000000000001" customHeight="1">
      <c r="A49" s="32" t="s">
        <v>388</v>
      </c>
      <c r="B49" s="4"/>
      <c r="C49" s="4"/>
      <c r="D49" s="4"/>
      <c r="E49" s="4"/>
      <c r="F49" s="4"/>
      <c r="G49" s="79"/>
      <c r="H49" s="4"/>
    </row>
    <row r="50" spans="1:20" ht="20.100000000000001" customHeight="1">
      <c r="A50" s="35" t="s">
        <v>39</v>
      </c>
      <c r="B50" s="36" t="s">
        <v>73</v>
      </c>
      <c r="C50" s="167">
        <f>Indtastningsark!D58</f>
        <v>115.6</v>
      </c>
      <c r="D50" s="167">
        <f>Indtastningsark!E58</f>
        <v>118</v>
      </c>
      <c r="E50" s="167">
        <f>Indtastningsark!F58</f>
        <v>107</v>
      </c>
      <c r="F50" s="167">
        <f>Indtastningsark!G58</f>
        <v>109</v>
      </c>
      <c r="G50" s="167">
        <f>Indtastningsark!H58</f>
        <v>99</v>
      </c>
      <c r="H50" s="167">
        <f>Indtastningsark!I58</f>
        <v>95</v>
      </c>
      <c r="I50" s="7"/>
    </row>
    <row r="51" spans="1:20" ht="19.5" customHeight="1">
      <c r="A51" s="38" t="s">
        <v>42</v>
      </c>
      <c r="B51" s="5" t="s">
        <v>73</v>
      </c>
      <c r="C51" s="167">
        <f>Indtastningsark!D59</f>
        <v>12.7</v>
      </c>
      <c r="D51" s="167">
        <f>Indtastningsark!E59</f>
        <v>13.1</v>
      </c>
      <c r="E51" s="167">
        <f>Indtastningsark!F59</f>
        <v>14.2</v>
      </c>
      <c r="F51" s="167">
        <f>Indtastningsark!G59</f>
        <v>14.7</v>
      </c>
      <c r="G51" s="167">
        <f>Indtastningsark!H59</f>
        <v>17.7</v>
      </c>
      <c r="H51" s="167">
        <f>Indtastningsark!I59</f>
        <v>17.5</v>
      </c>
      <c r="I51" s="7"/>
    </row>
    <row r="52" spans="1:20" ht="20.100000000000001" customHeight="1">
      <c r="A52" s="38" t="s">
        <v>410</v>
      </c>
      <c r="B52" s="5" t="s">
        <v>73</v>
      </c>
      <c r="C52" s="167">
        <f>Indtastningsark!D60</f>
        <v>4.0999999999999996</v>
      </c>
      <c r="D52" s="167">
        <f>Indtastningsark!E60</f>
        <v>4</v>
      </c>
      <c r="E52" s="167">
        <f>Indtastningsark!F60</f>
        <v>6.4</v>
      </c>
      <c r="F52" s="167">
        <f>Indtastningsark!G60</f>
        <v>5.94</v>
      </c>
      <c r="G52" s="167">
        <f>Indtastningsark!H60</f>
        <v>6</v>
      </c>
      <c r="H52" s="167">
        <f>Indtastningsark!I60</f>
        <v>6</v>
      </c>
      <c r="I52" s="7"/>
    </row>
    <row r="53" spans="1:20" ht="19.5" customHeight="1">
      <c r="A53" s="37" t="s">
        <v>43</v>
      </c>
      <c r="B53" s="15" t="s">
        <v>73</v>
      </c>
      <c r="C53" s="169">
        <f t="shared" ref="C53:H53" si="16">SUM(C50:C52)</f>
        <v>132.39999999999998</v>
      </c>
      <c r="D53" s="169">
        <f t="shared" si="16"/>
        <v>135.1</v>
      </c>
      <c r="E53" s="169">
        <f t="shared" si="16"/>
        <v>127.60000000000001</v>
      </c>
      <c r="F53" s="169">
        <f t="shared" si="16"/>
        <v>129.64000000000001</v>
      </c>
      <c r="G53" s="169">
        <f t="shared" si="16"/>
        <v>122.7</v>
      </c>
      <c r="H53" s="170">
        <f t="shared" si="16"/>
        <v>118.5</v>
      </c>
      <c r="I53" s="7"/>
    </row>
    <row r="54" spans="1:20" ht="20.100000000000001" customHeight="1">
      <c r="A54" s="35" t="s">
        <v>44</v>
      </c>
      <c r="B54" s="36" t="s">
        <v>77</v>
      </c>
      <c r="C54" s="174">
        <f t="shared" ref="C54:H54" si="17">IF(C11&gt;0,C50*1000/C11," ")</f>
        <v>308.26666666666665</v>
      </c>
      <c r="D54" s="174">
        <f t="shared" si="17"/>
        <v>312.9973474801061</v>
      </c>
      <c r="E54" s="174">
        <f t="shared" si="17"/>
        <v>282.32189973614777</v>
      </c>
      <c r="F54" s="174">
        <f t="shared" si="17"/>
        <v>285.34031413612564</v>
      </c>
      <c r="G54" s="174">
        <f t="shared" si="17"/>
        <v>261.2137203166227</v>
      </c>
      <c r="H54" s="175">
        <f t="shared" si="17"/>
        <v>250.65963060686016</v>
      </c>
      <c r="I54" s="7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20.100000000000001" customHeight="1">
      <c r="A55" s="38" t="s">
        <v>45</v>
      </c>
      <c r="B55" s="4" t="s">
        <v>77</v>
      </c>
      <c r="C55" s="174">
        <f t="shared" ref="C55:H55" si="18">IF(C11&gt;0,(C51+C52)*1000/C11," ")</f>
        <v>44.79999999999999</v>
      </c>
      <c r="D55" s="174">
        <f t="shared" si="18"/>
        <v>45.358090185676396</v>
      </c>
      <c r="E55" s="174">
        <f t="shared" si="18"/>
        <v>54.353562005277048</v>
      </c>
      <c r="F55" s="174">
        <f t="shared" si="18"/>
        <v>54.031413612565444</v>
      </c>
      <c r="G55" s="174">
        <f t="shared" si="18"/>
        <v>62.532981530343008</v>
      </c>
      <c r="H55" s="175">
        <f t="shared" si="18"/>
        <v>62.005277044854878</v>
      </c>
      <c r="I55" s="7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20.100000000000001" customHeight="1">
      <c r="A56" s="39" t="s">
        <v>41</v>
      </c>
      <c r="B56" s="49" t="s">
        <v>77</v>
      </c>
      <c r="C56" s="178">
        <f t="shared" ref="C56:H56" si="19">IF(C11&gt;0,C53/C11*1000," ")</f>
        <v>353.06666666666661</v>
      </c>
      <c r="D56" s="178">
        <f t="shared" si="19"/>
        <v>358.35543766578246</v>
      </c>
      <c r="E56" s="178">
        <f t="shared" si="19"/>
        <v>336.67546174142484</v>
      </c>
      <c r="F56" s="178">
        <f t="shared" si="19"/>
        <v>339.37172774869111</v>
      </c>
      <c r="G56" s="178">
        <f t="shared" si="19"/>
        <v>323.74670184696566</v>
      </c>
      <c r="H56" s="179">
        <f t="shared" si="19"/>
        <v>312.66490765171505</v>
      </c>
      <c r="I56" s="7"/>
      <c r="K56" s="6"/>
      <c r="L56" s="6"/>
      <c r="M56" s="6"/>
      <c r="N56" s="6"/>
      <c r="O56" s="6"/>
      <c r="P56" s="6"/>
      <c r="Q56" s="6"/>
      <c r="R56" s="6"/>
      <c r="S56" s="6"/>
    </row>
    <row r="57" spans="1:20" ht="20.100000000000001" customHeight="1">
      <c r="A57" s="33"/>
      <c r="B57" s="33"/>
      <c r="C57" s="120"/>
      <c r="D57" s="33"/>
      <c r="E57" s="33"/>
      <c r="F57" s="33"/>
      <c r="G57" s="81"/>
      <c r="H57" s="33"/>
      <c r="I57" s="6"/>
      <c r="K57" s="6"/>
      <c r="L57" s="6"/>
      <c r="M57" s="6"/>
      <c r="N57" s="6"/>
      <c r="O57" s="6"/>
      <c r="P57" s="6"/>
      <c r="Q57" s="6"/>
      <c r="R57" s="6"/>
      <c r="S57" s="6"/>
    </row>
    <row r="58" spans="1:20" ht="20.100000000000001" customHeight="1">
      <c r="A58" s="32" t="s">
        <v>423</v>
      </c>
      <c r="B58" s="4"/>
      <c r="C58" s="4"/>
      <c r="D58" s="4"/>
      <c r="E58" s="4"/>
      <c r="F58" s="4"/>
      <c r="G58" s="79"/>
      <c r="H58" s="4"/>
      <c r="J58"/>
      <c r="K58"/>
      <c r="L58"/>
      <c r="M58"/>
      <c r="N58"/>
      <c r="O58"/>
      <c r="P58"/>
      <c r="Q58"/>
    </row>
    <row r="59" spans="1:20" ht="20.100000000000001" customHeight="1">
      <c r="A59" s="35" t="s">
        <v>428</v>
      </c>
      <c r="B59" s="36" t="s">
        <v>73</v>
      </c>
      <c r="C59" s="329">
        <f>(Indtastningsark!D43*Indtastningsark!D35+Indtastningsark!D44*2.7+Indtastningsark!D45*2.2+(Indtastningsark!D46+Indtastningsark!D47)*Indtastningsark!D36/1000)/1000</f>
        <v>66.255840000000006</v>
      </c>
      <c r="D59" s="196">
        <f>(Indtastningsark!E43*Indtastningsark!E35+Indtastningsark!E44*2.7+Indtastningsark!E45*2.2+(Indtastningsark!E46+Indtastningsark!E47)*Indtastningsark!E36/1000)/1000</f>
        <v>19.394639999999999</v>
      </c>
      <c r="E59" s="196">
        <f>(Indtastningsark!F43*Indtastningsark!F35+Indtastningsark!F44*2.7+Indtastningsark!F45*2.2+(Indtastningsark!F46+Indtastningsark!F47)*Indtastningsark!F36/1000)/1000</f>
        <v>17.634815999999997</v>
      </c>
      <c r="F59" s="196">
        <f>(Indtastningsark!G43*Indtastningsark!G35+Indtastningsark!G44*2.7+Indtastningsark!G45*2.2+(Indtastningsark!G46+Indtastningsark!G47)*Indtastningsark!G36/1000)/1000</f>
        <v>17.560511999999999</v>
      </c>
      <c r="G59" s="196">
        <f>(Indtastningsark!H43*Indtastningsark!H35+Indtastningsark!H44*2.7+Indtastningsark!H45*2.2+(Indtastningsark!H46+Indtastningsark!H47)*Indtastningsark!H36/1000)/1000</f>
        <v>17.956799999999998</v>
      </c>
      <c r="H59" s="196">
        <f>(Indtastningsark!I43*Indtastningsark!I35+Indtastningsark!I44*2.7+Indtastningsark!I45*2.2+(Indtastningsark!I46+Indtastningsark!I47)*Indtastningsark!I36/1000)/1000</f>
        <v>17.089920000000003</v>
      </c>
      <c r="I59" s="6"/>
      <c r="J59"/>
      <c r="K59"/>
      <c r="L59"/>
      <c r="M59"/>
      <c r="N59"/>
      <c r="O59"/>
      <c r="P59"/>
      <c r="Q59"/>
      <c r="R59" s="13"/>
      <c r="S59" s="13"/>
      <c r="T59" s="6"/>
    </row>
    <row r="60" spans="1:20" ht="20.100000000000001" customHeight="1">
      <c r="A60" s="38" t="s">
        <v>429</v>
      </c>
      <c r="B60" s="5" t="s">
        <v>73</v>
      </c>
      <c r="C60" s="174">
        <f ca="1">(C35-'BASIS-regneark'!C28)*Indtastningsark!D36/1000000</f>
        <v>72.191433333333322</v>
      </c>
      <c r="D60" s="174">
        <f ca="1">(D35-'BASIS-regneark'!D28)*Indtastningsark!E36/1000000</f>
        <v>52.947564986737397</v>
      </c>
      <c r="E60" s="174">
        <f ca="1">(E35-'BASIS-regneark'!E28)*Indtastningsark!F36/1000000</f>
        <v>43.299142480211088</v>
      </c>
      <c r="F60" s="174">
        <f ca="1">(F35-'BASIS-regneark'!F28)*Indtastningsark!G36/1000000</f>
        <v>48.602554973821988</v>
      </c>
      <c r="G60" s="174">
        <f ca="1">(G35-'BASIS-regneark'!G28)*Indtastningsark!H36/1000000</f>
        <v>44.017513456464378</v>
      </c>
      <c r="H60" s="175">
        <f ca="1">(H35-'BASIS-regneark'!H28)*Indtastningsark!I36/1000000</f>
        <v>32.208607915567285</v>
      </c>
      <c r="I60" s="6"/>
      <c r="J60"/>
      <c r="K60"/>
      <c r="L60"/>
      <c r="M60"/>
      <c r="N60"/>
      <c r="O60"/>
      <c r="P60"/>
      <c r="Q60"/>
      <c r="R60" s="13"/>
      <c r="S60" s="13"/>
      <c r="T60" s="6"/>
    </row>
    <row r="61" spans="1:20" ht="20.100000000000001" customHeight="1">
      <c r="A61" s="37" t="s">
        <v>418</v>
      </c>
      <c r="B61" s="15" t="s">
        <v>73</v>
      </c>
      <c r="C61" s="330">
        <f t="shared" ref="C61" ca="1" si="20">SUM(C59:C60)</f>
        <v>138.44727333333333</v>
      </c>
      <c r="D61" s="330">
        <f t="shared" ref="D61:H61" ca="1" si="21">SUM(D59:D60)</f>
        <v>72.3422049867374</v>
      </c>
      <c r="E61" s="330">
        <f t="shared" ca="1" si="21"/>
        <v>60.933958480211089</v>
      </c>
      <c r="F61" s="330">
        <f t="shared" ca="1" si="21"/>
        <v>66.163066973821984</v>
      </c>
      <c r="G61" s="330">
        <f t="shared" ca="1" si="21"/>
        <v>61.974313456464373</v>
      </c>
      <c r="H61" s="329">
        <f t="shared" ca="1" si="21"/>
        <v>49.298527915567291</v>
      </c>
      <c r="I61" s="6"/>
      <c r="J61"/>
      <c r="K61"/>
      <c r="L61"/>
      <c r="M61"/>
      <c r="N61"/>
      <c r="O61"/>
      <c r="P61"/>
      <c r="Q61"/>
      <c r="R61" s="6"/>
      <c r="S61" s="6"/>
    </row>
    <row r="62" spans="1:20" ht="20.100000000000001" customHeight="1">
      <c r="A62" s="35" t="s">
        <v>426</v>
      </c>
      <c r="B62" s="50" t="s">
        <v>73</v>
      </c>
      <c r="C62" s="171">
        <f t="shared" ref="C62:H62" si="22">IF(C11&gt;0,C59/C11," ")</f>
        <v>0.17668224000000002</v>
      </c>
      <c r="D62" s="171">
        <f t="shared" si="22"/>
        <v>5.144466843501326E-2</v>
      </c>
      <c r="E62" s="171">
        <f t="shared" si="22"/>
        <v>4.6529857519788914E-2</v>
      </c>
      <c r="F62" s="171">
        <f t="shared" si="22"/>
        <v>4.5969926701570678E-2</v>
      </c>
      <c r="G62" s="171">
        <f t="shared" si="22"/>
        <v>4.7379419525065955E-2</v>
      </c>
      <c r="H62" s="172">
        <f t="shared" si="22"/>
        <v>4.5092137203166231E-2</v>
      </c>
      <c r="I62" s="6"/>
      <c r="J62"/>
      <c r="K62"/>
      <c r="L62"/>
      <c r="M62"/>
      <c r="N62"/>
      <c r="O62"/>
      <c r="P62"/>
      <c r="Q62"/>
      <c r="R62" s="6"/>
      <c r="S62" s="6"/>
    </row>
    <row r="63" spans="1:20" ht="20.100000000000001" customHeight="1">
      <c r="A63" s="38" t="s">
        <v>427</v>
      </c>
      <c r="B63" s="51" t="s">
        <v>73</v>
      </c>
      <c r="C63" s="171">
        <f t="shared" ref="C63:H63" ca="1" si="23">IF(C11&gt;0,C60/C11," ")</f>
        <v>0.19251048888888886</v>
      </c>
      <c r="D63" s="171">
        <f t="shared" ca="1" si="23"/>
        <v>0.14044446946084191</v>
      </c>
      <c r="E63" s="171">
        <f t="shared" ca="1" si="23"/>
        <v>0.11424575852298441</v>
      </c>
      <c r="F63" s="171">
        <f t="shared" ca="1" si="23"/>
        <v>0.12723181930319893</v>
      </c>
      <c r="G63" s="171">
        <f t="shared" ca="1" si="23"/>
        <v>0.11614119645505112</v>
      </c>
      <c r="H63" s="172">
        <f t="shared" ca="1" si="23"/>
        <v>8.498313434186619E-2</v>
      </c>
      <c r="I63" s="6"/>
      <c r="J63"/>
      <c r="K63"/>
      <c r="L63"/>
      <c r="M63"/>
      <c r="N63"/>
      <c r="O63"/>
      <c r="P63"/>
      <c r="Q63"/>
      <c r="R63" s="6"/>
      <c r="S63" s="6"/>
    </row>
    <row r="64" spans="1:20" ht="20.100000000000001" customHeight="1">
      <c r="A64" s="39" t="s">
        <v>419</v>
      </c>
      <c r="B64" s="40" t="s">
        <v>73</v>
      </c>
      <c r="C64" s="291">
        <f t="shared" ref="C64:H64" ca="1" si="24">IF(C11&gt;0,C61/C11," ")</f>
        <v>0.36919272888888888</v>
      </c>
      <c r="D64" s="291">
        <f t="shared" ca="1" si="24"/>
        <v>0.19188913789585518</v>
      </c>
      <c r="E64" s="291">
        <f t="shared" ca="1" si="24"/>
        <v>0.16077561604277332</v>
      </c>
      <c r="F64" s="291">
        <f t="shared" ca="1" si="24"/>
        <v>0.17320174600476959</v>
      </c>
      <c r="G64" s="291">
        <f t="shared" ca="1" si="24"/>
        <v>0.16352061598011708</v>
      </c>
      <c r="H64" s="173">
        <f t="shared" ca="1" si="24"/>
        <v>0.13007527154503243</v>
      </c>
      <c r="I64" s="6"/>
      <c r="J64"/>
      <c r="K64"/>
      <c r="L64"/>
      <c r="M64"/>
      <c r="N64"/>
      <c r="O64"/>
      <c r="P64"/>
      <c r="Q64"/>
    </row>
    <row r="65" spans="1:17" ht="20.100000000000001" customHeight="1">
      <c r="A65" s="35" t="s">
        <v>426</v>
      </c>
      <c r="B65" s="50" t="s">
        <v>73</v>
      </c>
      <c r="C65" s="171">
        <f>IF(C10&gt;0,C59/C10*100," ")</f>
        <v>0.44467006711409401</v>
      </c>
      <c r="D65" s="171">
        <f t="shared" ref="D65:H65" si="25">IF(D10&gt;0,D59/D10*100," ")</f>
        <v>0.13016536912751678</v>
      </c>
      <c r="E65" s="171">
        <f t="shared" si="25"/>
        <v>0.11835446979865771</v>
      </c>
      <c r="F65" s="171">
        <f t="shared" si="25"/>
        <v>0.11785578523489933</v>
      </c>
      <c r="G65" s="171">
        <f t="shared" si="25"/>
        <v>0.12051543624161072</v>
      </c>
      <c r="H65" s="172">
        <f t="shared" si="25"/>
        <v>0.11469744966442955</v>
      </c>
      <c r="I65" s="6"/>
      <c r="J65"/>
      <c r="K65"/>
      <c r="L65"/>
      <c r="M65"/>
      <c r="N65"/>
      <c r="O65"/>
      <c r="P65"/>
      <c r="Q65"/>
    </row>
    <row r="66" spans="1:17" ht="20.100000000000001" customHeight="1">
      <c r="A66" s="38" t="s">
        <v>427</v>
      </c>
      <c r="B66" s="51" t="s">
        <v>73</v>
      </c>
      <c r="C66" s="171">
        <f ca="1">IF(C10&gt;0,C60/C10*100," ")</f>
        <v>0.48450626398210284</v>
      </c>
      <c r="D66" s="171">
        <f t="shared" ref="D66:H66" ca="1" si="26">IF(D10&gt;0,D60/D10*100," ")</f>
        <v>0.35535278514588858</v>
      </c>
      <c r="E66" s="171">
        <f t="shared" ca="1" si="26"/>
        <v>0.29059827167926905</v>
      </c>
      <c r="F66" s="171">
        <f t="shared" ca="1" si="26"/>
        <v>0.32619164411961066</v>
      </c>
      <c r="G66" s="171">
        <f t="shared" ca="1" si="26"/>
        <v>0.29541955339908976</v>
      </c>
      <c r="H66" s="172">
        <f t="shared" ca="1" si="26"/>
        <v>0.21616515379575357</v>
      </c>
      <c r="I66" s="6"/>
      <c r="J66"/>
      <c r="K66"/>
      <c r="L66"/>
      <c r="M66"/>
      <c r="N66"/>
      <c r="O66"/>
      <c r="P66"/>
      <c r="Q66"/>
    </row>
    <row r="67" spans="1:17" ht="19.95" customHeight="1">
      <c r="A67" s="39" t="s">
        <v>585</v>
      </c>
      <c r="B67" s="40" t="s">
        <v>73</v>
      </c>
      <c r="C67" s="204">
        <f ca="1">IF(C10&gt;0,C61/C10*100," ")</f>
        <v>0.92917633109619679</v>
      </c>
      <c r="D67" s="204">
        <f t="shared" ref="D67:H67" ca="1" si="27">IF(D10&gt;0,D61/D10*100," ")</f>
        <v>0.48551815427340539</v>
      </c>
      <c r="E67" s="204">
        <f t="shared" ca="1" si="27"/>
        <v>0.40895274147792682</v>
      </c>
      <c r="F67" s="204">
        <f t="shared" ca="1" si="27"/>
        <v>0.44404742935450997</v>
      </c>
      <c r="G67" s="204">
        <f t="shared" ca="1" si="27"/>
        <v>0.41593498964070047</v>
      </c>
      <c r="H67" s="173">
        <f t="shared" ca="1" si="27"/>
        <v>0.33086260346018315</v>
      </c>
    </row>
    <row r="68" spans="1:17" ht="19.95" customHeight="1"/>
    <row r="69" spans="1:17" ht="15" customHeight="1"/>
    <row r="76" spans="1:17">
      <c r="A76" s="6"/>
      <c r="B76" s="6"/>
      <c r="C76" s="6"/>
      <c r="D76" s="6"/>
      <c r="E76" s="6"/>
      <c r="F76" s="6"/>
    </row>
    <row r="77" spans="1:17">
      <c r="A77" s="6"/>
      <c r="B77" s="6"/>
      <c r="C77" s="6"/>
      <c r="D77" s="6"/>
      <c r="E77" s="6"/>
      <c r="F77" s="6"/>
    </row>
    <row r="83" spans="1:6">
      <c r="A83" s="6"/>
      <c r="B83" s="6"/>
      <c r="C83" s="6"/>
      <c r="D83" s="6"/>
      <c r="E83" s="6"/>
      <c r="F83" s="6"/>
    </row>
    <row r="84" spans="1:6">
      <c r="A84" s="6"/>
      <c r="B84" s="6"/>
      <c r="C84" s="6"/>
      <c r="D84" s="6"/>
      <c r="E84" s="6"/>
      <c r="F84" s="6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</sheetData>
  <sheetProtection sheet="1" objects="1" scenarios="1"/>
  <phoneticPr fontId="35" type="noConversion"/>
  <printOptions gridLinesSet="0"/>
  <pageMargins left="0.98425196850393704" right="0.59055118110236227" top="0.39370078740157483" bottom="0.51181102362204722" header="1.1417322834645669" footer="0.39370078740157483"/>
  <pageSetup scale="55" orientation="portrait" r:id="rId1"/>
  <headerFooter alignWithMargins="0"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B1:K5"/>
  <sheetViews>
    <sheetView zoomScale="120" zoomScaleNormal="120" workbookViewId="0">
      <selection activeCell="M12" sqref="M12"/>
    </sheetView>
  </sheetViews>
  <sheetFormatPr defaultRowHeight="13.2"/>
  <cols>
    <col min="1" max="1" width="1.5546875" customWidth="1"/>
    <col min="2" max="11" width="8.6640625" customWidth="1"/>
  </cols>
  <sheetData>
    <row r="1" spans="2:11" ht="22.8">
      <c r="B1" s="139" t="str">
        <f>Indtastningsark!A1</f>
        <v>Grønt Regnskab 2022-23</v>
      </c>
      <c r="C1" s="111"/>
      <c r="D1" s="111"/>
      <c r="E1" s="111"/>
    </row>
    <row r="2" spans="2:11" ht="17.399999999999999">
      <c r="B2" s="93" t="str">
        <f>Indtastningsark!D12</f>
        <v>Klimaly</v>
      </c>
      <c r="J2" s="129"/>
    </row>
    <row r="3" spans="2:11" ht="17.399999999999999">
      <c r="B3" s="93"/>
      <c r="J3" s="108"/>
      <c r="K3" s="108" t="s">
        <v>451</v>
      </c>
    </row>
    <row r="4" spans="2:11" ht="12.75" customHeight="1">
      <c r="B4" s="89"/>
      <c r="I4" s="91"/>
    </row>
    <row r="5" spans="2:11">
      <c r="K5" s="126"/>
    </row>
  </sheetData>
  <sheetProtection sheet="1" objects="1" scenarios="1"/>
  <phoneticPr fontId="35" type="noConversion"/>
  <pageMargins left="0.98425196850393704" right="0.55118110236220474" top="0.98425196850393704" bottom="0.51181102362204722" header="0.51181102362204722" footer="0.51181102362204722"/>
  <pageSetup paperSize="9" orientation="portrait" r:id="rId1"/>
  <headerFooter alignWithMargins="0">
    <oddFooter>&amp;R&amp;6&amp;F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J66"/>
  <sheetViews>
    <sheetView showGridLines="0" topLeftCell="A12" zoomScaleNormal="100" workbookViewId="0">
      <selection activeCell="M37" sqref="M37"/>
    </sheetView>
  </sheetViews>
  <sheetFormatPr defaultColWidth="9.109375" defaultRowHeight="13.2"/>
  <cols>
    <col min="1" max="1" width="1.6640625" style="58" customWidth="1"/>
    <col min="2" max="2" width="9.33203125" style="58" customWidth="1"/>
    <col min="3" max="3" width="19" style="58" customWidth="1"/>
    <col min="4" max="9" width="11.6640625" style="58" customWidth="1"/>
    <col min="10" max="10" width="1.6640625" style="58" customWidth="1"/>
    <col min="11" max="11" width="7.5546875" style="58" customWidth="1"/>
    <col min="12" max="16384" width="9.109375" style="58"/>
  </cols>
  <sheetData>
    <row r="1" spans="1:10" ht="24" customHeight="1">
      <c r="A1" s="133" t="str">
        <f>Indtastningsark!A1</f>
        <v>Grønt Regnskab 2022-23</v>
      </c>
      <c r="B1" s="68"/>
    </row>
    <row r="2" spans="1:10" ht="24" customHeight="1">
      <c r="A2" s="133"/>
      <c r="B2" s="68"/>
    </row>
    <row r="3" spans="1:10" ht="30.75" customHeight="1">
      <c r="A3" s="140" t="str">
        <f>Indtastningsark!D12</f>
        <v>Klimaly</v>
      </c>
      <c r="B3" s="109"/>
      <c r="C3" s="110"/>
      <c r="D3" s="110"/>
      <c r="E3" s="110"/>
      <c r="I3" s="135" t="s">
        <v>83</v>
      </c>
    </row>
    <row r="4" spans="1:10" ht="28.5" customHeight="1">
      <c r="B4" s="141" t="s">
        <v>443</v>
      </c>
      <c r="C4" s="112"/>
      <c r="D4" s="112"/>
      <c r="E4" s="112"/>
      <c r="F4" s="112"/>
      <c r="G4" s="112"/>
      <c r="H4" s="112"/>
      <c r="I4" s="112"/>
    </row>
    <row r="5" spans="1:10" ht="30" customHeight="1">
      <c r="B5" s="58" t="s">
        <v>480</v>
      </c>
    </row>
    <row r="6" spans="1:10" ht="13.5" customHeight="1">
      <c r="B6" s="58" t="s">
        <v>31</v>
      </c>
    </row>
    <row r="7" spans="1:10" ht="13.5" customHeight="1">
      <c r="B7" s="58" t="s">
        <v>32</v>
      </c>
    </row>
    <row r="8" spans="1:10" ht="13.5" customHeight="1">
      <c r="B8" s="58" t="s">
        <v>599</v>
      </c>
    </row>
    <row r="9" spans="1:10" ht="13.5" customHeight="1">
      <c r="B9" s="58" t="s">
        <v>612</v>
      </c>
    </row>
    <row r="10" spans="1:10" ht="13.5" customHeight="1">
      <c r="B10" s="58" t="s">
        <v>34</v>
      </c>
    </row>
    <row r="11" spans="1:10" ht="13.5" customHeight="1">
      <c r="B11" s="58" t="s">
        <v>46</v>
      </c>
    </row>
    <row r="12" spans="1:10" ht="13.5" customHeight="1">
      <c r="B12" s="58" t="s">
        <v>444</v>
      </c>
    </row>
    <row r="13" spans="1:10" ht="13.5" customHeight="1"/>
    <row r="14" spans="1:10" ht="15.75" customHeight="1">
      <c r="A14" s="95"/>
      <c r="B14" s="151"/>
      <c r="C14" s="96"/>
      <c r="D14" s="97" t="s">
        <v>49</v>
      </c>
      <c r="E14" s="96"/>
      <c r="F14" s="96"/>
      <c r="G14" s="96"/>
      <c r="H14" s="96"/>
      <c r="I14" s="96"/>
      <c r="J14" s="98"/>
    </row>
    <row r="15" spans="1:10">
      <c r="A15" s="99"/>
      <c r="B15" s="100"/>
      <c r="C15" s="88"/>
      <c r="D15" s="185">
        <f>'BASIS-regneark'!C8</f>
        <v>2019</v>
      </c>
      <c r="E15" s="185">
        <f>'BASIS-regneark'!D8</f>
        <v>2020</v>
      </c>
      <c r="F15" s="185">
        <f>'BASIS-regneark'!E8</f>
        <v>2021</v>
      </c>
      <c r="G15" s="185">
        <f>'BASIS-regneark'!F8</f>
        <v>2022</v>
      </c>
      <c r="H15" s="185">
        <f>'BASIS-regneark'!G8</f>
        <v>2023</v>
      </c>
      <c r="I15" s="185">
        <f>'BASIS-regneark'!H8</f>
        <v>2024</v>
      </c>
      <c r="J15" s="101"/>
    </row>
    <row r="16" spans="1:10" ht="9" customHeight="1" thickBot="1">
      <c r="A16" s="99"/>
      <c r="B16" s="69"/>
      <c r="C16" s="69"/>
      <c r="D16" s="121"/>
      <c r="E16" s="122"/>
      <c r="F16" s="122"/>
      <c r="G16" s="122"/>
      <c r="H16" s="122"/>
      <c r="I16" s="121"/>
      <c r="J16" s="101"/>
    </row>
    <row r="17" spans="1:10" ht="9" customHeight="1">
      <c r="A17" s="99"/>
      <c r="B17" s="100"/>
      <c r="C17" s="100"/>
      <c r="D17" s="100"/>
      <c r="E17" s="100"/>
      <c r="F17" s="100"/>
      <c r="G17" s="100"/>
      <c r="H17" s="100"/>
      <c r="I17" s="100"/>
      <c r="J17" s="101"/>
    </row>
    <row r="18" spans="1:10" ht="13.8" thickBot="1">
      <c r="A18" s="99"/>
      <c r="B18" s="102" t="s">
        <v>390</v>
      </c>
      <c r="C18" s="100"/>
      <c r="D18" s="100"/>
      <c r="E18" s="100"/>
      <c r="F18" s="100"/>
      <c r="G18" s="100"/>
      <c r="H18" s="100"/>
      <c r="I18" s="100"/>
      <c r="J18" s="101"/>
    </row>
    <row r="19" spans="1:10">
      <c r="A19" s="99"/>
      <c r="B19" s="100" t="s">
        <v>84</v>
      </c>
      <c r="C19" s="100"/>
      <c r="D19" s="369"/>
      <c r="E19" s="370">
        <v>265</v>
      </c>
      <c r="F19" s="370">
        <v>288</v>
      </c>
      <c r="G19" s="370">
        <v>265</v>
      </c>
      <c r="H19" s="370">
        <v>303</v>
      </c>
      <c r="I19" s="371">
        <v>296</v>
      </c>
      <c r="J19" s="101"/>
    </row>
    <row r="20" spans="1:10" ht="12.75" customHeight="1">
      <c r="A20" s="99"/>
      <c r="B20" s="100" t="s">
        <v>437</v>
      </c>
      <c r="C20" s="100"/>
      <c r="D20" s="372"/>
      <c r="E20" s="186"/>
      <c r="F20" s="186"/>
      <c r="G20" s="186"/>
      <c r="H20" s="186"/>
      <c r="I20" s="373"/>
      <c r="J20" s="101"/>
    </row>
    <row r="21" spans="1:10">
      <c r="A21" s="99"/>
      <c r="B21" s="100" t="s">
        <v>433</v>
      </c>
      <c r="C21" s="100"/>
      <c r="D21" s="372"/>
      <c r="E21" s="186"/>
      <c r="F21" s="186"/>
      <c r="G21" s="186"/>
      <c r="H21" s="186"/>
      <c r="I21" s="373"/>
      <c r="J21" s="101"/>
    </row>
    <row r="22" spans="1:10">
      <c r="A22" s="99"/>
      <c r="B22" s="100" t="s">
        <v>434</v>
      </c>
      <c r="C22" s="100"/>
      <c r="D22" s="372"/>
      <c r="E22" s="186"/>
      <c r="F22" s="186"/>
      <c r="G22" s="186"/>
      <c r="H22" s="186"/>
      <c r="I22" s="373"/>
      <c r="J22" s="101"/>
    </row>
    <row r="23" spans="1:10">
      <c r="A23" s="99"/>
      <c r="B23" s="100" t="s">
        <v>503</v>
      </c>
      <c r="C23" s="100"/>
      <c r="D23" s="372"/>
      <c r="E23" s="186"/>
      <c r="F23" s="186"/>
      <c r="G23" s="186"/>
      <c r="H23" s="186"/>
      <c r="I23" s="373"/>
      <c r="J23" s="101"/>
    </row>
    <row r="24" spans="1:10">
      <c r="A24" s="99"/>
      <c r="B24" s="100" t="s">
        <v>438</v>
      </c>
      <c r="C24" s="100"/>
      <c r="D24" s="372"/>
      <c r="E24" s="186"/>
      <c r="F24" s="186"/>
      <c r="G24" s="186"/>
      <c r="H24" s="186"/>
      <c r="I24" s="373"/>
      <c r="J24" s="101"/>
    </row>
    <row r="25" spans="1:10">
      <c r="A25" s="99"/>
      <c r="B25" s="88" t="s">
        <v>485</v>
      </c>
      <c r="C25" s="261"/>
      <c r="D25" s="372"/>
      <c r="E25" s="186"/>
      <c r="F25" s="186"/>
      <c r="G25" s="186"/>
      <c r="H25" s="186"/>
      <c r="I25" s="373"/>
      <c r="J25" s="101"/>
    </row>
    <row r="26" spans="1:10" ht="13.8" thickBot="1">
      <c r="A26" s="99"/>
      <c r="B26" s="100" t="s">
        <v>457</v>
      </c>
      <c r="C26" s="100"/>
      <c r="D26" s="374"/>
      <c r="E26" s="375"/>
      <c r="F26" s="375"/>
      <c r="G26" s="375"/>
      <c r="H26" s="375"/>
      <c r="I26" s="376"/>
      <c r="J26" s="101"/>
    </row>
    <row r="27" spans="1:10">
      <c r="A27" s="99"/>
      <c r="B27" s="100"/>
      <c r="C27" s="100"/>
      <c r="D27" s="100"/>
      <c r="E27" s="100"/>
      <c r="F27" s="100"/>
      <c r="G27" s="100"/>
      <c r="H27" s="100"/>
      <c r="I27" s="100"/>
      <c r="J27" s="101"/>
    </row>
    <row r="28" spans="1:10">
      <c r="A28" s="99"/>
      <c r="B28" s="102" t="s">
        <v>389</v>
      </c>
      <c r="C28" s="100"/>
      <c r="D28" s="100"/>
      <c r="E28" s="100"/>
      <c r="F28" s="100"/>
      <c r="G28" s="100"/>
      <c r="H28" s="100"/>
      <c r="I28" s="100"/>
      <c r="J28" s="101"/>
    </row>
    <row r="29" spans="1:10">
      <c r="A29" s="99"/>
      <c r="B29" s="100" t="s">
        <v>598</v>
      </c>
      <c r="C29" s="100"/>
      <c r="D29" s="183"/>
      <c r="E29" s="183"/>
      <c r="F29" s="183"/>
      <c r="G29" s="183"/>
      <c r="H29" s="183"/>
      <c r="I29" s="183"/>
      <c r="J29" s="101"/>
    </row>
    <row r="30" spans="1:10">
      <c r="A30" s="99"/>
      <c r="B30" s="432" t="s">
        <v>606</v>
      </c>
      <c r="C30" s="100"/>
      <c r="D30" s="183"/>
      <c r="E30" s="183"/>
      <c r="F30" s="183"/>
      <c r="G30" s="184">
        <v>94.5</v>
      </c>
      <c r="H30" s="184">
        <v>94</v>
      </c>
      <c r="I30" s="184">
        <v>96</v>
      </c>
      <c r="J30" s="101"/>
    </row>
    <row r="31" spans="1:10">
      <c r="A31" s="99"/>
      <c r="B31" s="100" t="s">
        <v>608</v>
      </c>
      <c r="C31" s="100"/>
      <c r="D31" s="183"/>
      <c r="E31" s="183"/>
      <c r="F31" s="183"/>
      <c r="G31" s="447">
        <v>103</v>
      </c>
      <c r="H31" s="184">
        <v>101</v>
      </c>
      <c r="I31" s="184">
        <v>102</v>
      </c>
      <c r="J31" s="101"/>
    </row>
    <row r="32" spans="1:10">
      <c r="A32" s="99"/>
      <c r="B32" s="100" t="s">
        <v>609</v>
      </c>
      <c r="C32" s="100"/>
      <c r="D32" s="430"/>
      <c r="E32" s="430"/>
      <c r="F32" s="430"/>
      <c r="G32" s="448">
        <v>66.5</v>
      </c>
      <c r="H32" s="449">
        <v>63</v>
      </c>
      <c r="I32" s="449">
        <v>63</v>
      </c>
      <c r="J32" s="101"/>
    </row>
    <row r="33" spans="1:10">
      <c r="A33" s="99"/>
      <c r="B33" s="102" t="s">
        <v>604</v>
      </c>
      <c r="C33" s="102"/>
      <c r="D33" s="431">
        <f t="shared" ref="D33:F33" si="0">D29+D30+D31-D32</f>
        <v>0</v>
      </c>
      <c r="E33" s="431">
        <f t="shared" si="0"/>
        <v>0</v>
      </c>
      <c r="F33" s="431">
        <f t="shared" si="0"/>
        <v>0</v>
      </c>
      <c r="G33" s="431">
        <f>G29+G30+G31-G32</f>
        <v>131</v>
      </c>
      <c r="H33" s="431">
        <f t="shared" ref="H33:I33" si="1">H30+H31-H32</f>
        <v>132</v>
      </c>
      <c r="I33" s="431">
        <f t="shared" si="1"/>
        <v>135</v>
      </c>
      <c r="J33" s="101"/>
    </row>
    <row r="34" spans="1:10">
      <c r="A34" s="99"/>
      <c r="B34" s="100"/>
      <c r="C34" s="100"/>
      <c r="D34" s="187"/>
      <c r="E34" s="187"/>
      <c r="F34" s="187"/>
      <c r="G34" s="187"/>
      <c r="H34" s="187"/>
      <c r="I34" s="187"/>
      <c r="J34" s="101"/>
    </row>
    <row r="35" spans="1:10" ht="13.8" thickBot="1">
      <c r="A35" s="99"/>
      <c r="B35" s="102" t="s">
        <v>391</v>
      </c>
      <c r="C35" s="100"/>
      <c r="D35" s="187"/>
      <c r="E35" s="187"/>
      <c r="F35" s="187"/>
      <c r="G35" s="187"/>
      <c r="H35" s="187"/>
      <c r="I35" s="187"/>
      <c r="J35" s="101"/>
    </row>
    <row r="36" spans="1:10" ht="15.6">
      <c r="A36" s="99"/>
      <c r="B36" s="100" t="s">
        <v>424</v>
      </c>
      <c r="C36" s="100"/>
      <c r="D36" s="377">
        <v>2250</v>
      </c>
      <c r="E36" s="378">
        <v>2006</v>
      </c>
      <c r="F36" s="378">
        <v>2340</v>
      </c>
      <c r="G36" s="378">
        <v>2130</v>
      </c>
      <c r="H36" s="378">
        <v>2490</v>
      </c>
      <c r="I36" s="379">
        <v>2420</v>
      </c>
      <c r="J36" s="101"/>
    </row>
    <row r="37" spans="1:10" ht="16.2" thickBot="1">
      <c r="A37" s="99"/>
      <c r="B37" s="100" t="s">
        <v>425</v>
      </c>
      <c r="C37" s="100"/>
      <c r="D37" s="380"/>
      <c r="E37" s="381"/>
      <c r="F37" s="381"/>
      <c r="G37" s="381"/>
      <c r="H37" s="381"/>
      <c r="I37" s="382"/>
      <c r="J37" s="101"/>
    </row>
    <row r="38" spans="1:10">
      <c r="A38" s="99"/>
      <c r="B38" s="100"/>
      <c r="C38" s="100"/>
      <c r="D38" s="100"/>
      <c r="E38" s="100"/>
      <c r="F38" s="100"/>
      <c r="G38" s="100"/>
      <c r="H38" s="100"/>
      <c r="I38" s="100"/>
      <c r="J38" s="101"/>
    </row>
    <row r="39" spans="1:10" ht="13.8" thickBot="1">
      <c r="A39" s="99"/>
      <c r="B39" s="102" t="s">
        <v>392</v>
      </c>
      <c r="C39" s="100"/>
      <c r="D39" s="100"/>
      <c r="E39" s="100"/>
      <c r="F39" s="100"/>
      <c r="G39" s="100"/>
      <c r="H39" s="100"/>
      <c r="I39" s="100"/>
      <c r="J39" s="101"/>
    </row>
    <row r="40" spans="1:10">
      <c r="A40" s="99"/>
      <c r="B40" s="100" t="s">
        <v>404</v>
      </c>
      <c r="C40" s="100"/>
      <c r="D40" s="383">
        <v>20</v>
      </c>
      <c r="E40" s="383">
        <v>20.100000000000001</v>
      </c>
      <c r="F40" s="383">
        <v>22.8</v>
      </c>
      <c r="G40" s="383">
        <v>27.3</v>
      </c>
      <c r="H40" s="383">
        <v>28.3</v>
      </c>
      <c r="I40" s="384">
        <v>33.1</v>
      </c>
      <c r="J40" s="101"/>
    </row>
    <row r="41" spans="1:10">
      <c r="A41" s="99"/>
      <c r="B41" s="100" t="s">
        <v>393</v>
      </c>
      <c r="C41" s="100"/>
      <c r="D41" s="188">
        <v>11.5</v>
      </c>
      <c r="E41" s="188">
        <v>12.1</v>
      </c>
      <c r="F41" s="188">
        <v>11.7</v>
      </c>
      <c r="G41" s="188">
        <v>12.6</v>
      </c>
      <c r="H41" s="188">
        <v>14.1</v>
      </c>
      <c r="I41" s="385">
        <v>14.1</v>
      </c>
      <c r="J41" s="101"/>
    </row>
    <row r="42" spans="1:10">
      <c r="A42" s="99"/>
      <c r="B42" s="100" t="s">
        <v>408</v>
      </c>
      <c r="C42" s="100"/>
      <c r="D42" s="188">
        <v>4.8</v>
      </c>
      <c r="E42" s="188">
        <v>5.8</v>
      </c>
      <c r="F42" s="188">
        <v>6.2</v>
      </c>
      <c r="G42" s="188">
        <v>6.92</v>
      </c>
      <c r="H42" s="188">
        <v>5.8</v>
      </c>
      <c r="I42" s="385">
        <v>5.8</v>
      </c>
      <c r="J42" s="101"/>
    </row>
    <row r="43" spans="1:10" ht="13.8" thickBot="1">
      <c r="A43" s="99"/>
      <c r="B43" s="100" t="s">
        <v>409</v>
      </c>
      <c r="C43" s="100"/>
      <c r="D43" s="366"/>
      <c r="E43" s="386"/>
      <c r="F43" s="386"/>
      <c r="G43" s="386"/>
      <c r="H43" s="386"/>
      <c r="I43" s="387"/>
      <c r="J43" s="101"/>
    </row>
    <row r="44" spans="1:10">
      <c r="A44" s="103"/>
      <c r="B44" s="104"/>
      <c r="C44" s="104"/>
      <c r="D44" s="104"/>
      <c r="E44" s="104"/>
      <c r="F44" s="104"/>
      <c r="G44" s="104"/>
      <c r="H44" s="104"/>
      <c r="I44" s="104"/>
      <c r="J44" s="105"/>
    </row>
    <row r="46" spans="1:10">
      <c r="B46" s="114"/>
      <c r="C46" s="113"/>
      <c r="D46" s="113"/>
      <c r="E46" s="113"/>
      <c r="F46" s="113"/>
      <c r="G46" s="113"/>
      <c r="H46" s="113"/>
      <c r="I46" s="113"/>
    </row>
    <row r="47" spans="1:10">
      <c r="B47" s="106"/>
      <c r="C47" s="106"/>
      <c r="D47" s="106"/>
      <c r="E47" s="106"/>
      <c r="F47" s="106"/>
      <c r="G47" s="106"/>
      <c r="H47" s="106"/>
      <c r="I47" s="106"/>
    </row>
    <row r="49" spans="2:9">
      <c r="B49" s="72"/>
      <c r="C49" s="72"/>
      <c r="D49" s="72"/>
      <c r="E49" s="72"/>
      <c r="F49" s="72"/>
      <c r="G49" s="72"/>
      <c r="H49" s="72"/>
      <c r="I49" s="72"/>
    </row>
    <row r="50" spans="2:9">
      <c r="B50" s="116"/>
      <c r="C50" s="116"/>
      <c r="D50" s="116"/>
      <c r="E50" s="116"/>
      <c r="F50" s="116"/>
      <c r="G50" s="116"/>
      <c r="H50" s="116"/>
      <c r="I50" s="116"/>
    </row>
    <row r="51" spans="2:9">
      <c r="B51" s="116"/>
      <c r="C51" s="116"/>
      <c r="D51" s="116"/>
      <c r="E51" s="116"/>
      <c r="F51" s="116"/>
      <c r="G51" s="116"/>
      <c r="H51" s="116"/>
      <c r="I51" s="116"/>
    </row>
    <row r="52" spans="2:9">
      <c r="B52" s="116"/>
      <c r="C52" s="116"/>
      <c r="D52" s="116"/>
      <c r="E52" s="116"/>
      <c r="F52" s="116"/>
      <c r="G52" s="116"/>
      <c r="H52" s="116"/>
      <c r="I52" s="116"/>
    </row>
    <row r="66" ht="4.5" customHeight="1"/>
  </sheetData>
  <sheetProtection sheet="1" objects="1" scenarios="1"/>
  <phoneticPr fontId="35" type="noConversion"/>
  <pageMargins left="0.98425196850393704" right="0.59055118110236227" top="0.98425196850393704" bottom="0.51181102362204722" header="0.51181102362204722" footer="0.51181102362204722"/>
  <pageSetup paperSize="9" scale="85" orientation="portrait" r:id="rId1"/>
  <headerFooter alignWithMargins="0">
    <oddFooter>&amp;L&amp;Y  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2" transitionEvaluation="1" codeName="Ark5"/>
  <dimension ref="A1:T631"/>
  <sheetViews>
    <sheetView showGridLines="0" topLeftCell="A2" zoomScale="65" zoomScaleNormal="65" workbookViewId="0">
      <selection activeCell="J23" sqref="J23"/>
    </sheetView>
  </sheetViews>
  <sheetFormatPr defaultColWidth="12.5546875" defaultRowHeight="15"/>
  <cols>
    <col min="1" max="1" width="48" style="3" customWidth="1"/>
    <col min="2" max="2" width="11.88671875" style="3" customWidth="1"/>
    <col min="3" max="8" width="15.6640625" style="3" customWidth="1"/>
    <col min="9" max="9" width="12.5546875" style="3" customWidth="1"/>
    <col min="10" max="10" width="30.5546875" style="3" customWidth="1"/>
    <col min="11" max="11" width="12.5546875" style="3" customWidth="1"/>
    <col min="12" max="16384" width="12.5546875" style="3"/>
  </cols>
  <sheetData>
    <row r="1" spans="1:11" ht="38.25" customHeight="1">
      <c r="A1" s="142" t="str">
        <f>Indtastningsark!A1</f>
        <v>Grønt Regnskab 2022-23</v>
      </c>
      <c r="D1" s="58"/>
      <c r="E1" s="58"/>
      <c r="F1" s="58"/>
      <c r="G1" s="58"/>
      <c r="H1" s="58"/>
    </row>
    <row r="2" spans="1:11" ht="50.25" customHeight="1">
      <c r="A2" s="107" t="str">
        <f>Indtastningsark!D12</f>
        <v>Klimaly</v>
      </c>
      <c r="B2" s="115"/>
      <c r="C2" s="58"/>
      <c r="D2" s="148"/>
      <c r="E2" s="70"/>
      <c r="F2" s="130"/>
      <c r="G2" s="131"/>
      <c r="H2" s="137" t="s">
        <v>85</v>
      </c>
    </row>
    <row r="3" spans="1:11" ht="39" customHeight="1">
      <c r="A3" s="71"/>
      <c r="B3"/>
      <c r="C3"/>
      <c r="D3"/>
      <c r="E3" s="58"/>
      <c r="F3" s="58"/>
      <c r="G3" s="70"/>
      <c r="H3" s="70"/>
    </row>
    <row r="4" spans="1:11" ht="24" customHeight="1" thickBot="1">
      <c r="A4" s="4"/>
      <c r="B4" s="4"/>
      <c r="C4" s="4"/>
      <c r="D4" s="31" t="s">
        <v>402</v>
      </c>
      <c r="E4" s="31" t="s">
        <v>403</v>
      </c>
      <c r="F4" s="31" t="s">
        <v>420</v>
      </c>
      <c r="G4" s="31" t="s">
        <v>446</v>
      </c>
      <c r="H4" s="31" t="s">
        <v>421</v>
      </c>
      <c r="J4" s="83"/>
    </row>
    <row r="5" spans="1:11" ht="19.5" customHeight="1" thickBot="1">
      <c r="A5" s="4"/>
      <c r="B5" s="281"/>
      <c r="C5" s="278" t="str">
        <f>'BASIS-regneark'!C6</f>
        <v>2022-23</v>
      </c>
      <c r="D5" s="150">
        <f ca="1">H24</f>
        <v>4143.8402741887221</v>
      </c>
      <c r="E5" s="264">
        <f>H31</f>
        <v>886.80738786279676</v>
      </c>
      <c r="F5" s="85">
        <f>H39</f>
        <v>37.387862796833772</v>
      </c>
      <c r="G5" s="84">
        <f>H50</f>
        <v>312.66490765171505</v>
      </c>
      <c r="H5" s="76">
        <f ca="1">H61</f>
        <v>0.13007527154503243</v>
      </c>
      <c r="I5" s="6"/>
    </row>
    <row r="6" spans="1:11" ht="15.75" customHeight="1" thickBot="1">
      <c r="A6" s="4"/>
      <c r="B6" s="4"/>
      <c r="C6" s="4"/>
      <c r="D6" s="149"/>
      <c r="E6" s="4"/>
      <c r="F6" s="4"/>
      <c r="G6" s="79"/>
      <c r="H6" s="4"/>
      <c r="J6" s="82"/>
    </row>
    <row r="7" spans="1:11" ht="19.5" customHeight="1" thickBot="1">
      <c r="A7" s="33"/>
      <c r="B7" s="4"/>
      <c r="C7" s="165">
        <f>'BASIS-regneark'!C8</f>
        <v>2019</v>
      </c>
      <c r="D7" s="165">
        <f>'BASIS-regneark'!D8</f>
        <v>2020</v>
      </c>
      <c r="E7" s="165">
        <f>'BASIS-regneark'!E8</f>
        <v>2021</v>
      </c>
      <c r="F7" s="165">
        <f>'BASIS-regneark'!F8</f>
        <v>2022</v>
      </c>
      <c r="G7" s="189">
        <f>'BASIS-regneark'!G8</f>
        <v>2023</v>
      </c>
      <c r="H7" s="190">
        <f>'BASIS-regneark'!H8</f>
        <v>2024</v>
      </c>
      <c r="I7" s="146"/>
    </row>
    <row r="8" spans="1:11" ht="15" customHeight="1">
      <c r="A8" s="4"/>
      <c r="B8" s="4"/>
      <c r="C8" s="34"/>
      <c r="D8" s="34"/>
      <c r="E8" s="34"/>
      <c r="F8" s="34"/>
      <c r="G8" s="77"/>
      <c r="H8" s="31"/>
    </row>
    <row r="9" spans="1:11" ht="20.100000000000001" customHeight="1">
      <c r="A9" s="35" t="s">
        <v>430</v>
      </c>
      <c r="B9" s="36"/>
      <c r="C9" s="152">
        <f>'BASIS-regneark'!C10</f>
        <v>14900</v>
      </c>
      <c r="D9" s="152">
        <f>'BASIS-regneark'!D10</f>
        <v>14900</v>
      </c>
      <c r="E9" s="152">
        <f>'BASIS-regneark'!E10</f>
        <v>14900</v>
      </c>
      <c r="F9" s="152">
        <f>'BASIS-regneark'!F10</f>
        <v>14900</v>
      </c>
      <c r="G9" s="152">
        <f>'BASIS-regneark'!G10</f>
        <v>14900</v>
      </c>
      <c r="H9" s="152">
        <f>'BASIS-regneark'!H10</f>
        <v>14900</v>
      </c>
      <c r="I9" s="8"/>
    </row>
    <row r="10" spans="1:11" ht="20.100000000000001" customHeight="1">
      <c r="A10" s="38" t="s">
        <v>86</v>
      </c>
      <c r="B10" s="4"/>
      <c r="C10" s="152">
        <f>'BASIS-regneark'!C11</f>
        <v>375</v>
      </c>
      <c r="D10" s="152">
        <f>'BASIS-regneark'!D11</f>
        <v>377</v>
      </c>
      <c r="E10" s="152">
        <f>'BASIS-regneark'!E11</f>
        <v>379</v>
      </c>
      <c r="F10" s="152">
        <f>'BASIS-regneark'!F11</f>
        <v>382</v>
      </c>
      <c r="G10" s="152">
        <f>'BASIS-regneark'!G11</f>
        <v>379</v>
      </c>
      <c r="H10" s="153">
        <f>'BASIS-regneark'!H11</f>
        <v>379</v>
      </c>
      <c r="I10" s="8"/>
    </row>
    <row r="11" spans="1:11" ht="15.75" customHeight="1">
      <c r="A11" s="36"/>
      <c r="B11" s="36"/>
      <c r="C11" s="36"/>
      <c r="D11" s="36"/>
      <c r="E11" s="36"/>
      <c r="F11" s="34"/>
      <c r="G11" s="36"/>
      <c r="H11" s="36"/>
    </row>
    <row r="12" spans="1:11" ht="19.5" customHeight="1">
      <c r="A12" s="32" t="s">
        <v>385</v>
      </c>
      <c r="B12" s="4"/>
      <c r="C12" s="4"/>
      <c r="D12" s="4"/>
      <c r="E12" s="4"/>
      <c r="F12" s="4"/>
      <c r="G12" s="4"/>
      <c r="H12" s="4"/>
    </row>
    <row r="13" spans="1:11" ht="19.5" customHeight="1">
      <c r="A13" s="35" t="s">
        <v>87</v>
      </c>
      <c r="B13" s="36" t="s">
        <v>59</v>
      </c>
      <c r="C13" s="191">
        <f>'BASIS-regneark'!C20-'BASIS-regneark'!C19</f>
        <v>1470</v>
      </c>
      <c r="D13" s="191">
        <f>'BASIS-regneark'!D20-'BASIS-regneark'!D19</f>
        <v>1195</v>
      </c>
      <c r="E13" s="191">
        <f>'BASIS-regneark'!E20-'BASIS-regneark'!E19</f>
        <v>1136</v>
      </c>
      <c r="F13" s="191">
        <f>'BASIS-regneark'!F20-'BASIS-regneark'!F19</f>
        <v>1153</v>
      </c>
      <c r="G13" s="191">
        <f>'BASIS-regneark'!G20-'BASIS-regneark'!G19</f>
        <v>1147</v>
      </c>
      <c r="H13" s="192">
        <f>'BASIS-regneark'!H20-'BASIS-regneark'!H19</f>
        <v>1084</v>
      </c>
      <c r="I13" s="7"/>
    </row>
    <row r="14" spans="1:11" ht="19.5" customHeight="1">
      <c r="A14" s="38" t="s">
        <v>88</v>
      </c>
      <c r="B14" s="4" t="s">
        <v>59</v>
      </c>
      <c r="C14" s="152">
        <f>'Indtastningsark-X'!D19</f>
        <v>0</v>
      </c>
      <c r="D14" s="152">
        <f>'Indtastningsark-X'!E19</f>
        <v>265</v>
      </c>
      <c r="E14" s="152">
        <f>'Indtastningsark-X'!F19</f>
        <v>288</v>
      </c>
      <c r="F14" s="152">
        <f>'Indtastningsark-X'!G19</f>
        <v>265</v>
      </c>
      <c r="G14" s="152">
        <f>'Indtastningsark-X'!H19</f>
        <v>303</v>
      </c>
      <c r="H14" s="152">
        <f>'Indtastningsark-X'!I19</f>
        <v>296</v>
      </c>
      <c r="I14" s="7"/>
      <c r="K14" s="9"/>
    </row>
    <row r="15" spans="1:11" ht="19.5" customHeight="1">
      <c r="A15" s="38" t="s">
        <v>0</v>
      </c>
      <c r="B15" s="4" t="s">
        <v>59</v>
      </c>
      <c r="C15" s="152">
        <f>'BASIS-regneark'!C17-Indtastningsark!D47/1000</f>
        <v>0</v>
      </c>
      <c r="D15" s="152">
        <f>'BASIS-regneark'!D17-Indtastningsark!E47/1000</f>
        <v>0</v>
      </c>
      <c r="E15" s="152">
        <f>'BASIS-regneark'!E17-Indtastningsark!F47/1000</f>
        <v>0</v>
      </c>
      <c r="F15" s="152">
        <f>'BASIS-regneark'!F17-Indtastningsark!G47/1000</f>
        <v>0</v>
      </c>
      <c r="G15" s="152">
        <f>'BASIS-regneark'!G17-Indtastningsark!H47/1000</f>
        <v>0</v>
      </c>
      <c r="H15" s="152">
        <f>'BASIS-regneark'!H17-Indtastningsark!I47/1000</f>
        <v>0</v>
      </c>
      <c r="I15" s="7"/>
      <c r="K15" s="9"/>
    </row>
    <row r="16" spans="1:11" ht="20.100000000000001" customHeight="1">
      <c r="A16" s="38" t="s">
        <v>435</v>
      </c>
      <c r="B16" s="5" t="s">
        <v>59</v>
      </c>
      <c r="C16" s="152">
        <f>'Indtastningsark-X'!D20*0.0041*0.8+('Indtastningsark-X'!D21*7.2+'Indtastningsark-X'!D22*5.6+'Indtastningsark-X'!D23*5.3/10+'Indtastningsark-X'!D24*4+'Indtastningsark-X'!D25*2.9+'Indtastningsark-X'!D26*4.9)*0.6</f>
        <v>0</v>
      </c>
      <c r="D16" s="152">
        <f>'Indtastningsark-X'!E20*0.0041*0.8+('Indtastningsark-X'!E21*7.2+'Indtastningsark-X'!E22*5.6+'Indtastningsark-X'!E23*5.3/10+'Indtastningsark-X'!E24*4+'Indtastningsark-X'!E25*2.9+'Indtastningsark-X'!E26*4.9)*0.6</f>
        <v>0</v>
      </c>
      <c r="E16" s="152">
        <f>'Indtastningsark-X'!F20*0.0041*0.8+('Indtastningsark-X'!F21*7.2+'Indtastningsark-X'!F22*5.6+'Indtastningsark-X'!F23*5.3/10+'Indtastningsark-X'!F24*4+'Indtastningsark-X'!F25*2.9+'Indtastningsark-X'!F26*4.9)*0.6</f>
        <v>0</v>
      </c>
      <c r="F16" s="152">
        <f>'Indtastningsark-X'!G20*0.0041*0.8+('Indtastningsark-X'!G21*7.2+'Indtastningsark-X'!G22*5.6+'Indtastningsark-X'!G23*5.3/10+'Indtastningsark-X'!G24*4+'Indtastningsark-X'!G25*2.9+'Indtastningsark-X'!G26*4.9)*0.6</f>
        <v>0</v>
      </c>
      <c r="G16" s="152">
        <f>'Indtastningsark-X'!H20*0.0041*0.8+('Indtastningsark-X'!H21*7.2+'Indtastningsark-X'!H22*5.6+'Indtastningsark-X'!H23*5.3/10+'Indtastningsark-X'!H24*4+'Indtastningsark-X'!H25*2.9+'Indtastningsark-X'!H26*4.9)*0.6</f>
        <v>0</v>
      </c>
      <c r="H16" s="152">
        <f>'Indtastningsark-X'!I20*0.0041*0.8+('Indtastningsark-X'!I21*7.2+'Indtastningsark-X'!I22*5.6+'Indtastningsark-X'!I23*5.3/10+'Indtastningsark-X'!I24*4+'Indtastningsark-X'!I25*2.9+'Indtastningsark-X'!I26*4.9)*0.6</f>
        <v>0</v>
      </c>
      <c r="I16" s="7"/>
      <c r="K16" s="9"/>
    </row>
    <row r="17" spans="1:20" ht="19.5" customHeight="1">
      <c r="A17" s="37" t="s">
        <v>63</v>
      </c>
      <c r="B17" s="55" t="s">
        <v>59</v>
      </c>
      <c r="C17" s="193">
        <f t="shared" ref="C17:H17" si="0">SUM(C13:C16)</f>
        <v>1470</v>
      </c>
      <c r="D17" s="192">
        <f t="shared" si="0"/>
        <v>1460</v>
      </c>
      <c r="E17" s="193">
        <f t="shared" si="0"/>
        <v>1424</v>
      </c>
      <c r="F17" s="192">
        <f t="shared" si="0"/>
        <v>1418</v>
      </c>
      <c r="G17" s="193">
        <f t="shared" si="0"/>
        <v>1450</v>
      </c>
      <c r="H17" s="192">
        <f t="shared" si="0"/>
        <v>1380</v>
      </c>
      <c r="I17" s="7"/>
      <c r="J17" s="16"/>
      <c r="K17" s="14"/>
      <c r="L17" s="14"/>
      <c r="M17" s="14"/>
      <c r="N17" s="14"/>
      <c r="O17" s="14"/>
      <c r="P17" s="14"/>
    </row>
    <row r="18" spans="1:20" ht="20.100000000000001" customHeight="1">
      <c r="A18" s="37" t="s">
        <v>490</v>
      </c>
      <c r="B18" s="15" t="s">
        <v>59</v>
      </c>
      <c r="C18" s="191">
        <f ca="1">'BASIS-regneark'!C23</f>
        <v>1667.4251229324989</v>
      </c>
      <c r="D18" s="191">
        <f ca="1">'BASIS-regneark'!D23</f>
        <v>1602.7205503009457</v>
      </c>
      <c r="E18" s="191">
        <f ca="1">'BASIS-regneark'!E23</f>
        <v>1428.1490347490346</v>
      </c>
      <c r="F18" s="191">
        <f ca="1">'BASIS-regneark'!F23</f>
        <v>1645.7033976124883</v>
      </c>
      <c r="G18" s="191">
        <f ca="1">'BASIS-regneark'!G23</f>
        <v>1569.6513102282333</v>
      </c>
      <c r="H18" s="191">
        <f ca="1">'BASIS-regneark'!H23</f>
        <v>1570.5154639175257</v>
      </c>
      <c r="I18" s="7"/>
      <c r="J18" s="19"/>
      <c r="K18" s="20"/>
      <c r="L18" s="20"/>
      <c r="M18" s="20"/>
      <c r="N18" s="20"/>
      <c r="O18" s="20"/>
      <c r="P18" s="21"/>
    </row>
    <row r="19" spans="1:20" ht="20.100000000000001" customHeight="1">
      <c r="A19" s="38" t="s">
        <v>89</v>
      </c>
      <c r="B19" s="4" t="s">
        <v>68</v>
      </c>
      <c r="C19" s="195">
        <f ca="1">IF(C9&gt;0,(C18-C14-C15-C16)/C9*1000," ")</f>
        <v>111.90772637130866</v>
      </c>
      <c r="D19" s="195">
        <f t="shared" ref="D19:H19" ca="1" si="1">IF(D9&gt;0,(D18-D14-D15-D16)/D9*1000," ")</f>
        <v>89.779902704761454</v>
      </c>
      <c r="E19" s="195">
        <f t="shared" ca="1" si="1"/>
        <v>76.520069446243937</v>
      </c>
      <c r="F19" s="195">
        <f t="shared" ca="1" si="1"/>
        <v>92.664657557885121</v>
      </c>
      <c r="G19" s="195">
        <f t="shared" ca="1" si="1"/>
        <v>85.010155048874722</v>
      </c>
      <c r="H19" s="195">
        <f t="shared" ca="1" si="1"/>
        <v>85.537950598491662</v>
      </c>
      <c r="I19" s="7"/>
      <c r="J19" s="16"/>
      <c r="K19" s="14"/>
      <c r="L19" s="14"/>
      <c r="M19" s="14"/>
      <c r="N19" s="14"/>
      <c r="O19" s="14"/>
      <c r="P19" s="14"/>
    </row>
    <row r="20" spans="1:20" ht="20.100000000000001" customHeight="1">
      <c r="A20" s="38" t="s">
        <v>90</v>
      </c>
      <c r="B20" s="4" t="s">
        <v>68</v>
      </c>
      <c r="C20" s="195">
        <f>IF(C9&gt;0,SUM(C14:C16)/C9*1000," ")</f>
        <v>0</v>
      </c>
      <c r="D20" s="195">
        <f t="shared" ref="D20:H20" si="2">IF(D9&gt;0,SUM(D14:D16)/D9*1000," ")</f>
        <v>17.785234899328859</v>
      </c>
      <c r="E20" s="195">
        <f t="shared" si="2"/>
        <v>19.328859060402682</v>
      </c>
      <c r="F20" s="195">
        <f t="shared" si="2"/>
        <v>17.785234899328859</v>
      </c>
      <c r="G20" s="195">
        <f t="shared" si="2"/>
        <v>20.335570469798657</v>
      </c>
      <c r="H20" s="195">
        <f t="shared" si="2"/>
        <v>19.865771812080535</v>
      </c>
      <c r="I20" s="7"/>
      <c r="J20" s="16"/>
      <c r="K20" s="14"/>
      <c r="L20" s="14"/>
      <c r="M20" s="14"/>
      <c r="N20" s="14"/>
      <c r="O20" s="14"/>
      <c r="P20" s="14"/>
    </row>
    <row r="21" spans="1:20" ht="20.100000000000001" customHeight="1">
      <c r="A21" s="37" t="s">
        <v>595</v>
      </c>
      <c r="B21" s="15" t="s">
        <v>68</v>
      </c>
      <c r="C21" s="195">
        <f ca="1">IF(C9&gt;0,C18/C9*1000," ")</f>
        <v>111.90772637130866</v>
      </c>
      <c r="D21" s="195">
        <f t="shared" ref="D21:H21" ca="1" si="3">IF(D9&gt;0,D18/D9*1000," ")</f>
        <v>107.56513760409031</v>
      </c>
      <c r="E21" s="195">
        <f t="shared" ca="1" si="3"/>
        <v>95.848928506646615</v>
      </c>
      <c r="F21" s="195">
        <f t="shared" ca="1" si="3"/>
        <v>110.44989245721398</v>
      </c>
      <c r="G21" s="195">
        <f t="shared" ca="1" si="3"/>
        <v>105.34572551867339</v>
      </c>
      <c r="H21" s="195">
        <f t="shared" ca="1" si="3"/>
        <v>105.40372241057219</v>
      </c>
      <c r="I21" s="7"/>
      <c r="J21" s="22"/>
      <c r="K21" s="23"/>
      <c r="L21" s="23"/>
      <c r="M21" s="23"/>
      <c r="N21" s="23"/>
      <c r="O21" s="23"/>
      <c r="P21" s="24"/>
      <c r="Q21" s="10"/>
      <c r="R21" s="10"/>
      <c r="S21" s="10"/>
      <c r="T21" s="6"/>
    </row>
    <row r="22" spans="1:20" ht="20.100000000000001" customHeight="1">
      <c r="A22" s="38" t="s">
        <v>91</v>
      </c>
      <c r="B22" s="4" t="s">
        <v>68</v>
      </c>
      <c r="C22" s="439">
        <f ca="1">IF(C10&gt;0,(C18-C14-C15-C16)/C10*1000," ")</f>
        <v>4446.4669944866637</v>
      </c>
      <c r="D22" s="439">
        <f t="shared" ref="D22:H22" ca="1" si="4">IF(D10&gt;0,(D18-D14-D15-D16)/D10*1000," ")</f>
        <v>3548.3303721510497</v>
      </c>
      <c r="E22" s="439">
        <f t="shared" ca="1" si="4"/>
        <v>3008.3087988101174</v>
      </c>
      <c r="F22" s="439">
        <f t="shared" ca="1" si="4"/>
        <v>3614.406800032692</v>
      </c>
      <c r="G22" s="439">
        <f t="shared" ca="1" si="4"/>
        <v>3342.0878897842567</v>
      </c>
      <c r="H22" s="439">
        <f t="shared" ca="1" si="4"/>
        <v>3362.8376356662948</v>
      </c>
      <c r="I22" s="6"/>
      <c r="J22" s="22"/>
      <c r="K22" s="23"/>
      <c r="L22" s="23"/>
      <c r="M22" s="23"/>
      <c r="N22" s="23"/>
      <c r="O22" s="23"/>
      <c r="P22" s="24"/>
      <c r="Q22" s="10"/>
      <c r="R22" s="10"/>
      <c r="S22" s="10"/>
      <c r="T22" s="6"/>
    </row>
    <row r="23" spans="1:20" ht="20.100000000000001" customHeight="1">
      <c r="A23" s="38" t="s">
        <v>90</v>
      </c>
      <c r="B23" s="4" t="s">
        <v>68</v>
      </c>
      <c r="C23" s="439">
        <f>IF(C10&gt;0,SUM(C14:C16)/C10*1000," ")</f>
        <v>0</v>
      </c>
      <c r="D23" s="439">
        <f t="shared" ref="D23:H23" si="5">IF(D10&gt;0,SUM(D14:D16)/D10*1000," ")</f>
        <v>702.91777188328911</v>
      </c>
      <c r="E23" s="439">
        <f t="shared" si="5"/>
        <v>759.89445910290237</v>
      </c>
      <c r="F23" s="439">
        <f t="shared" si="5"/>
        <v>693.71727748691103</v>
      </c>
      <c r="G23" s="439">
        <f t="shared" si="5"/>
        <v>799.47229551451187</v>
      </c>
      <c r="H23" s="439">
        <f t="shared" si="5"/>
        <v>781.00263852242745</v>
      </c>
      <c r="J23" s="24"/>
      <c r="K23" s="25"/>
      <c r="L23" s="25"/>
      <c r="M23" s="25"/>
      <c r="N23" s="25"/>
      <c r="O23" s="25"/>
      <c r="P23" s="25"/>
      <c r="Q23" s="11"/>
      <c r="R23" s="10"/>
      <c r="S23" s="10"/>
      <c r="T23" s="6"/>
    </row>
    <row r="24" spans="1:20" ht="20.100000000000001" customHeight="1">
      <c r="A24" s="39" t="s">
        <v>67</v>
      </c>
      <c r="B24" s="40" t="s">
        <v>68</v>
      </c>
      <c r="C24" s="440">
        <f ca="1">IF(C10&gt;0,C18/C10*1000," ")</f>
        <v>4446.4669944866637</v>
      </c>
      <c r="D24" s="440">
        <f t="shared" ref="D24:H24" ca="1" si="6">IF(D10&gt;0,D18/D10*1000," ")</f>
        <v>4251.248144034339</v>
      </c>
      <c r="E24" s="440">
        <f t="shared" ca="1" si="6"/>
        <v>3768.20325791302</v>
      </c>
      <c r="F24" s="440">
        <f t="shared" ca="1" si="6"/>
        <v>4308.1240775196029</v>
      </c>
      <c r="G24" s="440">
        <f t="shared" ca="1" si="6"/>
        <v>4141.5601852987684</v>
      </c>
      <c r="H24" s="440">
        <f t="shared" ca="1" si="6"/>
        <v>4143.8402741887221</v>
      </c>
      <c r="K24" s="6"/>
      <c r="L24" s="6"/>
      <c r="M24" s="6"/>
      <c r="N24" s="6"/>
      <c r="O24" s="6"/>
      <c r="P24" s="6"/>
      <c r="Q24" s="6"/>
      <c r="R24" s="6"/>
      <c r="S24" s="6"/>
    </row>
    <row r="25" spans="1:20" ht="15.75" customHeight="1">
      <c r="A25" s="41"/>
      <c r="B25" s="41"/>
      <c r="C25" s="42"/>
      <c r="D25" s="42"/>
      <c r="E25" s="42"/>
      <c r="F25" s="42"/>
      <c r="G25" s="80"/>
      <c r="H25" s="42"/>
      <c r="K25" s="6"/>
      <c r="L25" s="6"/>
      <c r="M25" s="6"/>
      <c r="N25" s="6"/>
      <c r="O25" s="6"/>
      <c r="P25" s="6"/>
      <c r="Q25" s="6"/>
      <c r="R25" s="6"/>
      <c r="S25" s="6"/>
    </row>
    <row r="26" spans="1:20" ht="20.100000000000001" customHeight="1">
      <c r="A26" s="32" t="s">
        <v>386</v>
      </c>
      <c r="B26" s="4"/>
      <c r="C26" s="4"/>
      <c r="D26" s="4"/>
      <c r="E26" s="4"/>
      <c r="F26" s="4"/>
      <c r="G26" s="79"/>
      <c r="H26" s="4"/>
    </row>
    <row r="27" spans="1:20" ht="20.100000000000001" customHeight="1">
      <c r="A27" s="35" t="s">
        <v>484</v>
      </c>
      <c r="B27" s="53" t="s">
        <v>68</v>
      </c>
      <c r="C27" s="436">
        <f>'BASIS-regneark'!C32+'BASIS-regneark'!C33</f>
        <v>358050</v>
      </c>
      <c r="D27" s="192">
        <f>'BASIS-regneark'!D32+'BASIS-regneark'!D33</f>
        <v>356000</v>
      </c>
      <c r="E27" s="192">
        <f>'BASIS-regneark'!E32+'BASIS-regneark'!E33</f>
        <v>347000</v>
      </c>
      <c r="F27" s="192">
        <f>'BASIS-regneark'!F32+'BASIS-regneark'!F33</f>
        <v>227000</v>
      </c>
      <c r="G27" s="192">
        <f>'BASIS-regneark'!G32+'BASIS-regneark'!G33</f>
        <v>223600</v>
      </c>
      <c r="H27" s="192">
        <f>'BASIS-regneark'!H32+'BASIS-regneark'!H33</f>
        <v>201100</v>
      </c>
      <c r="I27" s="7"/>
    </row>
    <row r="28" spans="1:20" ht="20.100000000000001" customHeight="1">
      <c r="A28" s="37" t="s">
        <v>604</v>
      </c>
      <c r="B28" s="55" t="s">
        <v>68</v>
      </c>
      <c r="C28" s="437">
        <f>'Indtastningsark-X'!D33</f>
        <v>0</v>
      </c>
      <c r="D28" s="437">
        <f>'Indtastningsark-X'!E33</f>
        <v>0</v>
      </c>
      <c r="E28" s="437">
        <f>'Indtastningsark-X'!F33</f>
        <v>0</v>
      </c>
      <c r="F28" s="437">
        <f>'Indtastningsark-X'!G33*1000</f>
        <v>131000</v>
      </c>
      <c r="G28" s="437">
        <f>'Indtastningsark-X'!H33*1000</f>
        <v>132000</v>
      </c>
      <c r="H28" s="437">
        <f>'Indtastningsark-X'!I33*1000</f>
        <v>135000</v>
      </c>
      <c r="I28" s="7"/>
    </row>
    <row r="29" spans="1:20" ht="20.100000000000001" customHeight="1">
      <c r="A29" s="38" t="s">
        <v>92</v>
      </c>
      <c r="B29" s="4" t="s">
        <v>68</v>
      </c>
      <c r="C29" s="196">
        <f>IF(C27&gt;0,C27/C10)</f>
        <v>954.8</v>
      </c>
      <c r="D29" s="196">
        <f t="shared" ref="D29:H29" si="7">IF(D27&gt;0,D27/D10)</f>
        <v>944.29708222811666</v>
      </c>
      <c r="E29" s="196">
        <f t="shared" si="7"/>
        <v>915.56728232189971</v>
      </c>
      <c r="F29" s="196">
        <f t="shared" si="7"/>
        <v>594.24083769633512</v>
      </c>
      <c r="G29" s="196">
        <f t="shared" si="7"/>
        <v>589.97361477572565</v>
      </c>
      <c r="H29" s="196">
        <f t="shared" si="7"/>
        <v>530.60686015831129</v>
      </c>
      <c r="I29" s="7"/>
      <c r="K29"/>
      <c r="L29"/>
      <c r="M29"/>
      <c r="N29"/>
      <c r="O29"/>
      <c r="P29"/>
      <c r="Q29"/>
    </row>
    <row r="30" spans="1:20" ht="20.100000000000001" customHeight="1">
      <c r="A30" s="38" t="s">
        <v>475</v>
      </c>
      <c r="B30" s="4" t="s">
        <v>68</v>
      </c>
      <c r="C30" s="196" t="str">
        <f>IF(C28&gt;0,C28/C10,"")</f>
        <v/>
      </c>
      <c r="D30" s="196" t="str">
        <f t="shared" ref="D30:H30" si="8">IF(D28&gt;0,D28/D10,"")</f>
        <v/>
      </c>
      <c r="E30" s="196" t="str">
        <f t="shared" si="8"/>
        <v/>
      </c>
      <c r="F30" s="196">
        <f t="shared" si="8"/>
        <v>342.93193717277489</v>
      </c>
      <c r="G30" s="196">
        <f t="shared" si="8"/>
        <v>348.28496042216358</v>
      </c>
      <c r="H30" s="196">
        <f t="shared" si="8"/>
        <v>356.20052770448547</v>
      </c>
      <c r="I30" s="7"/>
      <c r="J30"/>
      <c r="K30"/>
      <c r="L30"/>
      <c r="M30"/>
      <c r="N30"/>
      <c r="O30"/>
      <c r="P30"/>
      <c r="Q30"/>
      <c r="R30" s="11"/>
      <c r="S30" s="12"/>
      <c r="T30" s="6"/>
    </row>
    <row r="31" spans="1:20" ht="20.100000000000001" customHeight="1">
      <c r="A31" s="39" t="s">
        <v>69</v>
      </c>
      <c r="B31" s="41" t="s">
        <v>68</v>
      </c>
      <c r="C31" s="197">
        <f>SUM(C29:C30)</f>
        <v>954.8</v>
      </c>
      <c r="D31" s="197">
        <f t="shared" ref="D31:H31" si="9">SUM(D29:D30)</f>
        <v>944.29708222811666</v>
      </c>
      <c r="E31" s="197">
        <f t="shared" si="9"/>
        <v>915.56728232189971</v>
      </c>
      <c r="F31" s="197">
        <f t="shared" si="9"/>
        <v>937.17277486911007</v>
      </c>
      <c r="G31" s="197">
        <f t="shared" si="9"/>
        <v>938.25857519788929</v>
      </c>
      <c r="H31" s="197">
        <f t="shared" si="9"/>
        <v>886.80738786279676</v>
      </c>
      <c r="I31" s="57"/>
      <c r="J31"/>
      <c r="K31"/>
      <c r="L31"/>
      <c r="M31"/>
      <c r="N31"/>
      <c r="O31"/>
      <c r="P31"/>
      <c r="Q31"/>
      <c r="R31" s="11"/>
      <c r="S31" s="12"/>
      <c r="T31" s="6"/>
    </row>
    <row r="32" spans="1:20" ht="15.75" customHeight="1">
      <c r="A32" s="36"/>
      <c r="B32" s="36"/>
      <c r="C32" s="36"/>
      <c r="D32" s="36"/>
      <c r="E32" s="36"/>
      <c r="F32" s="36"/>
      <c r="G32" s="78"/>
      <c r="H32" s="36"/>
      <c r="J32"/>
      <c r="K32"/>
      <c r="L32"/>
      <c r="M32"/>
      <c r="N32"/>
      <c r="O32"/>
      <c r="P32"/>
      <c r="Q32"/>
    </row>
    <row r="33" spans="1:20" ht="20.100000000000001" customHeight="1">
      <c r="A33" s="32" t="s">
        <v>387</v>
      </c>
      <c r="B33" s="4"/>
      <c r="C33" s="4"/>
      <c r="D33" s="4"/>
      <c r="E33" s="4"/>
      <c r="F33" s="4"/>
      <c r="G33" s="79"/>
      <c r="H33" s="4"/>
      <c r="J33"/>
      <c r="K33"/>
      <c r="L33"/>
      <c r="M33"/>
      <c r="N33"/>
      <c r="O33"/>
      <c r="P33"/>
      <c r="Q33"/>
    </row>
    <row r="34" spans="1:20" ht="20.100000000000001" customHeight="1">
      <c r="A34" s="35" t="s">
        <v>93</v>
      </c>
      <c r="B34" s="36" t="s">
        <v>416</v>
      </c>
      <c r="C34" s="169">
        <f>'BASIS-regneark'!C41</f>
        <v>11980</v>
      </c>
      <c r="D34" s="169">
        <f>'BASIS-regneark'!D41</f>
        <v>11440</v>
      </c>
      <c r="E34" s="169">
        <f>'BASIS-regneark'!E41</f>
        <v>12040</v>
      </c>
      <c r="F34" s="169">
        <f>'BASIS-regneark'!F41</f>
        <v>12020</v>
      </c>
      <c r="G34" s="169">
        <f>'BASIS-regneark'!G41</f>
        <v>11600</v>
      </c>
      <c r="H34" s="170">
        <f>'BASIS-regneark'!H41</f>
        <v>11750</v>
      </c>
      <c r="I34" s="7"/>
      <c r="J34"/>
      <c r="K34"/>
      <c r="L34"/>
      <c r="M34"/>
      <c r="N34"/>
      <c r="O34"/>
      <c r="P34"/>
      <c r="Q34"/>
    </row>
    <row r="35" spans="1:20" ht="20.100000000000001" customHeight="1">
      <c r="A35" s="38" t="s">
        <v>94</v>
      </c>
      <c r="B35" s="54" t="s">
        <v>416</v>
      </c>
      <c r="C35" s="152">
        <f>'Indtastningsark-X'!D36</f>
        <v>2250</v>
      </c>
      <c r="D35" s="152">
        <f>'Indtastningsark-X'!E36</f>
        <v>2006</v>
      </c>
      <c r="E35" s="152">
        <f>'Indtastningsark-X'!F36</f>
        <v>2340</v>
      </c>
      <c r="F35" s="152">
        <f>'Indtastningsark-X'!G36</f>
        <v>2130</v>
      </c>
      <c r="G35" s="152">
        <f>'Indtastningsark-X'!H36</f>
        <v>2490</v>
      </c>
      <c r="H35" s="152">
        <f>'Indtastningsark-X'!I36</f>
        <v>2420</v>
      </c>
      <c r="I35" s="7"/>
      <c r="J35"/>
      <c r="K35"/>
      <c r="L35"/>
      <c r="M35"/>
      <c r="N35"/>
      <c r="O35"/>
      <c r="P35"/>
      <c r="Q35"/>
    </row>
    <row r="36" spans="1:20" ht="20.100000000000001" customHeight="1">
      <c r="A36" s="37" t="s">
        <v>406</v>
      </c>
      <c r="B36" s="15" t="s">
        <v>416</v>
      </c>
      <c r="C36" s="152">
        <f>'Indtastningsark-X'!D37</f>
        <v>0</v>
      </c>
      <c r="D36" s="152">
        <f>'Indtastningsark-X'!E37</f>
        <v>0</v>
      </c>
      <c r="E36" s="152">
        <f>'Indtastningsark-X'!F37</f>
        <v>0</v>
      </c>
      <c r="F36" s="152">
        <f>'Indtastningsark-X'!G37</f>
        <v>0</v>
      </c>
      <c r="G36" s="152">
        <f>'Indtastningsark-X'!H37</f>
        <v>0</v>
      </c>
      <c r="H36" s="152">
        <f>'Indtastningsark-X'!I37</f>
        <v>0</v>
      </c>
      <c r="I36" s="7"/>
      <c r="J36"/>
      <c r="K36"/>
      <c r="L36"/>
      <c r="M36"/>
      <c r="N36"/>
      <c r="O36"/>
      <c r="P36"/>
      <c r="Q36"/>
    </row>
    <row r="37" spans="1:20" ht="20.100000000000001" customHeight="1">
      <c r="A37" s="38" t="s">
        <v>95</v>
      </c>
      <c r="B37" s="5" t="s">
        <v>416</v>
      </c>
      <c r="C37" s="198">
        <f t="shared" ref="C37:H37" si="10">IF(C10&gt;0,C34/C10," ")</f>
        <v>31.946666666666665</v>
      </c>
      <c r="D37" s="198">
        <f t="shared" si="10"/>
        <v>30.344827586206897</v>
      </c>
      <c r="E37" s="198">
        <f t="shared" si="10"/>
        <v>31.767810026385224</v>
      </c>
      <c r="F37" s="198">
        <f t="shared" si="10"/>
        <v>31.465968586387433</v>
      </c>
      <c r="G37" s="198">
        <f t="shared" si="10"/>
        <v>30.606860158311346</v>
      </c>
      <c r="H37" s="199">
        <f t="shared" si="10"/>
        <v>31.002638522427439</v>
      </c>
      <c r="I37" s="7"/>
      <c r="J37"/>
      <c r="K37"/>
      <c r="L37"/>
      <c r="M37"/>
      <c r="N37"/>
      <c r="O37"/>
      <c r="P37"/>
      <c r="Q37"/>
    </row>
    <row r="38" spans="1:20" ht="20.100000000000001" customHeight="1">
      <c r="A38" s="38" t="s">
        <v>407</v>
      </c>
      <c r="B38" s="5" t="s">
        <v>416</v>
      </c>
      <c r="C38" s="198">
        <f t="shared" ref="C38:H38" si="11">IF(C10&gt;0,(C35+C36)/C10," ")</f>
        <v>6</v>
      </c>
      <c r="D38" s="198">
        <f t="shared" si="11"/>
        <v>5.3209549071618039</v>
      </c>
      <c r="E38" s="198">
        <f t="shared" si="11"/>
        <v>6.1741424802110814</v>
      </c>
      <c r="F38" s="198">
        <f t="shared" si="11"/>
        <v>5.5759162303664924</v>
      </c>
      <c r="G38" s="198">
        <f t="shared" si="11"/>
        <v>6.5699208443271768</v>
      </c>
      <c r="H38" s="199">
        <f t="shared" si="11"/>
        <v>6.3852242744063323</v>
      </c>
      <c r="I38" s="7"/>
      <c r="J38"/>
      <c r="K38"/>
      <c r="L38"/>
      <c r="M38"/>
      <c r="N38"/>
      <c r="O38"/>
      <c r="P38"/>
      <c r="Q38"/>
    </row>
    <row r="39" spans="1:20" ht="20.100000000000001" customHeight="1">
      <c r="A39" s="56" t="s">
        <v>71</v>
      </c>
      <c r="B39" s="41" t="s">
        <v>417</v>
      </c>
      <c r="C39" s="200">
        <f t="shared" ref="C39:H39" si="12">IF(C10&gt;0,(C34+C35)/C10," ")</f>
        <v>37.946666666666665</v>
      </c>
      <c r="D39" s="200">
        <f t="shared" si="12"/>
        <v>35.665782493368702</v>
      </c>
      <c r="E39" s="200">
        <f t="shared" si="12"/>
        <v>37.941952506596309</v>
      </c>
      <c r="F39" s="200">
        <f t="shared" si="12"/>
        <v>37.041884816753928</v>
      </c>
      <c r="G39" s="200">
        <f t="shared" si="12"/>
        <v>37.176781002638521</v>
      </c>
      <c r="H39" s="272">
        <f t="shared" si="12"/>
        <v>37.387862796833772</v>
      </c>
      <c r="I39" s="7"/>
      <c r="J39"/>
      <c r="K39"/>
      <c r="L39"/>
      <c r="M39"/>
      <c r="N39"/>
      <c r="O39"/>
      <c r="P39"/>
      <c r="Q39"/>
    </row>
    <row r="40" spans="1:20" ht="20.100000000000001" customHeight="1">
      <c r="A40" s="92" t="s">
        <v>72</v>
      </c>
      <c r="B40" s="87" t="s">
        <v>61</v>
      </c>
      <c r="C40" s="201">
        <f t="shared" ref="C40:H40" si="13">IF(C10&gt;0,C39*1000/365," ")</f>
        <v>103.96347031963469</v>
      </c>
      <c r="D40" s="201">
        <f t="shared" si="13"/>
        <v>97.71447258457178</v>
      </c>
      <c r="E40" s="201">
        <f t="shared" si="13"/>
        <v>103.95055481259263</v>
      </c>
      <c r="F40" s="201">
        <f t="shared" si="13"/>
        <v>101.48461593631212</v>
      </c>
      <c r="G40" s="201">
        <f t="shared" si="13"/>
        <v>101.85419452777677</v>
      </c>
      <c r="H40" s="202">
        <f t="shared" si="13"/>
        <v>102.43250081324322</v>
      </c>
      <c r="I40" s="7"/>
      <c r="J40"/>
      <c r="K40"/>
      <c r="L40"/>
      <c r="M40"/>
      <c r="N40"/>
      <c r="O40"/>
      <c r="P40"/>
      <c r="Q40"/>
      <c r="R40" s="6"/>
      <c r="S40" s="6"/>
      <c r="T40" s="6"/>
    </row>
    <row r="41" spans="1:20" ht="15.75" customHeight="1">
      <c r="A41" s="36"/>
      <c r="B41" s="36"/>
      <c r="C41" s="36"/>
      <c r="D41" s="36"/>
      <c r="E41" s="36"/>
      <c r="F41" s="36"/>
      <c r="G41" s="78"/>
      <c r="H41" s="36"/>
      <c r="J41"/>
      <c r="K41"/>
      <c r="L41"/>
      <c r="M41"/>
      <c r="N41"/>
      <c r="O41"/>
      <c r="P41"/>
      <c r="Q41"/>
      <c r="R41" s="6"/>
      <c r="S41" s="6"/>
    </row>
    <row r="42" spans="1:20" ht="20.100000000000001" customHeight="1">
      <c r="A42" s="125" t="s">
        <v>388</v>
      </c>
      <c r="B42" s="4"/>
      <c r="C42" s="4"/>
      <c r="D42" s="4"/>
      <c r="E42" s="4"/>
      <c r="F42" s="4"/>
      <c r="G42" s="79"/>
      <c r="H42" s="4"/>
    </row>
    <row r="43" spans="1:20" ht="20.100000000000001" customHeight="1">
      <c r="A43" s="38" t="s">
        <v>448</v>
      </c>
      <c r="B43" s="36" t="s">
        <v>73</v>
      </c>
      <c r="C43" s="191">
        <f>'BASIS-regneark'!C53</f>
        <v>132.39999999999998</v>
      </c>
      <c r="D43" s="191">
        <f>'BASIS-regneark'!D53</f>
        <v>135.1</v>
      </c>
      <c r="E43" s="191">
        <f>'BASIS-regneark'!E53</f>
        <v>127.60000000000001</v>
      </c>
      <c r="F43" s="191">
        <f>'BASIS-regneark'!F53</f>
        <v>129.64000000000001</v>
      </c>
      <c r="G43" s="191">
        <f>'BASIS-regneark'!G53</f>
        <v>122.7</v>
      </c>
      <c r="H43" s="194">
        <f>'BASIS-regneark'!H53</f>
        <v>118.5</v>
      </c>
      <c r="I43" s="7"/>
    </row>
    <row r="44" spans="1:20" ht="20.100000000000001" customHeight="1">
      <c r="A44" s="38" t="s">
        <v>405</v>
      </c>
      <c r="B44" s="5" t="s">
        <v>73</v>
      </c>
      <c r="C44" s="152">
        <f>'Indtastningsark-X'!D40</f>
        <v>20</v>
      </c>
      <c r="D44" s="152">
        <f>'Indtastningsark-X'!E40</f>
        <v>20.100000000000001</v>
      </c>
      <c r="E44" s="152">
        <f>'Indtastningsark-X'!F40</f>
        <v>22.8</v>
      </c>
      <c r="F44" s="152">
        <f>'Indtastningsark-X'!G40</f>
        <v>27.3</v>
      </c>
      <c r="G44" s="152">
        <f>'Indtastningsark-X'!H40</f>
        <v>28.3</v>
      </c>
      <c r="H44" s="152">
        <f>'Indtastningsark-X'!I40</f>
        <v>33.1</v>
      </c>
      <c r="I44" s="7"/>
    </row>
    <row r="45" spans="1:20" ht="20.100000000000001" customHeight="1">
      <c r="A45" s="38" t="s">
        <v>74</v>
      </c>
      <c r="B45" s="5" t="s">
        <v>73</v>
      </c>
      <c r="C45" s="152">
        <f>'Indtastningsark-X'!D41</f>
        <v>11.5</v>
      </c>
      <c r="D45" s="152">
        <f>'Indtastningsark-X'!E41</f>
        <v>12.1</v>
      </c>
      <c r="E45" s="152">
        <f>'Indtastningsark-X'!F41</f>
        <v>11.7</v>
      </c>
      <c r="F45" s="152">
        <f>'Indtastningsark-X'!G41</f>
        <v>12.6</v>
      </c>
      <c r="G45" s="152">
        <f>'Indtastningsark-X'!H41</f>
        <v>14.1</v>
      </c>
      <c r="H45" s="152">
        <f>'Indtastningsark-X'!I41</f>
        <v>14.1</v>
      </c>
      <c r="I45" s="7"/>
    </row>
    <row r="46" spans="1:20" ht="20.100000000000001" customHeight="1">
      <c r="A46" s="38" t="s">
        <v>75</v>
      </c>
      <c r="B46" s="5" t="s">
        <v>73</v>
      </c>
      <c r="C46" s="152">
        <f>'Indtastningsark-X'!D42</f>
        <v>4.8</v>
      </c>
      <c r="D46" s="152">
        <f>'Indtastningsark-X'!E42</f>
        <v>5.8</v>
      </c>
      <c r="E46" s="152">
        <f>'Indtastningsark-X'!F42</f>
        <v>6.2</v>
      </c>
      <c r="F46" s="152">
        <f>'Indtastningsark-X'!G42</f>
        <v>6.92</v>
      </c>
      <c r="G46" s="152">
        <f>'Indtastningsark-X'!H42</f>
        <v>5.8</v>
      </c>
      <c r="H46" s="152">
        <f>'Indtastningsark-X'!I42</f>
        <v>5.8</v>
      </c>
      <c r="I46" s="7"/>
    </row>
    <row r="47" spans="1:20" ht="20.100000000000001" customHeight="1">
      <c r="A47" s="38" t="s">
        <v>571</v>
      </c>
      <c r="B47" s="5" t="s">
        <v>73</v>
      </c>
      <c r="C47" s="152">
        <f>'Indtastningsark-X'!D43</f>
        <v>0</v>
      </c>
      <c r="D47" s="152">
        <f>'Indtastningsark-X'!E43</f>
        <v>0</v>
      </c>
      <c r="E47" s="152">
        <f>'Indtastningsark-X'!F43</f>
        <v>0</v>
      </c>
      <c r="F47" s="152">
        <f>'Indtastningsark-X'!G43</f>
        <v>0</v>
      </c>
      <c r="G47" s="152">
        <f>'Indtastningsark-X'!H43</f>
        <v>0</v>
      </c>
      <c r="H47" s="152">
        <f>'Indtastningsark-X'!I43</f>
        <v>0</v>
      </c>
      <c r="I47" s="7"/>
    </row>
    <row r="48" spans="1:20" ht="20.100000000000001" customHeight="1">
      <c r="A48" s="38" t="s">
        <v>76</v>
      </c>
      <c r="B48" s="5" t="s">
        <v>73</v>
      </c>
      <c r="C48" s="191">
        <f t="shared" ref="C48:H48" si="14">SUM(C44:C47)</f>
        <v>36.299999999999997</v>
      </c>
      <c r="D48" s="191">
        <f t="shared" si="14"/>
        <v>38</v>
      </c>
      <c r="E48" s="191">
        <f t="shared" si="14"/>
        <v>40.700000000000003</v>
      </c>
      <c r="F48" s="191">
        <f t="shared" si="14"/>
        <v>46.82</v>
      </c>
      <c r="G48" s="191">
        <f t="shared" si="14"/>
        <v>48.199999999999996</v>
      </c>
      <c r="H48" s="194">
        <f t="shared" si="14"/>
        <v>53</v>
      </c>
      <c r="I48" s="7"/>
    </row>
    <row r="49" spans="1:20" ht="20.100000000000001" customHeight="1">
      <c r="A49" s="37" t="s">
        <v>447</v>
      </c>
      <c r="B49" s="15" t="s">
        <v>73</v>
      </c>
      <c r="C49" s="191">
        <f t="shared" ref="C49:H49" si="15">C43+C48</f>
        <v>168.7</v>
      </c>
      <c r="D49" s="191">
        <f t="shared" si="15"/>
        <v>173.1</v>
      </c>
      <c r="E49" s="191">
        <f t="shared" si="15"/>
        <v>168.3</v>
      </c>
      <c r="F49" s="191">
        <f t="shared" si="15"/>
        <v>176.46</v>
      </c>
      <c r="G49" s="191">
        <f t="shared" si="15"/>
        <v>170.9</v>
      </c>
      <c r="H49" s="194">
        <f t="shared" si="15"/>
        <v>171.5</v>
      </c>
      <c r="I49" s="7"/>
    </row>
    <row r="50" spans="1:20" ht="20.100000000000001" customHeight="1">
      <c r="A50" s="38" t="s">
        <v>40</v>
      </c>
      <c r="B50" s="32" t="s">
        <v>77</v>
      </c>
      <c r="C50" s="200">
        <f t="shared" ref="C50:H50" si="16">IF(C43&gt;0,C43/C10*1000," ")</f>
        <v>353.06666666666661</v>
      </c>
      <c r="D50" s="200">
        <f t="shared" si="16"/>
        <v>358.35543766578246</v>
      </c>
      <c r="E50" s="200">
        <f t="shared" si="16"/>
        <v>336.67546174142484</v>
      </c>
      <c r="F50" s="200">
        <f t="shared" si="16"/>
        <v>339.37172774869111</v>
      </c>
      <c r="G50" s="200">
        <f t="shared" si="16"/>
        <v>323.74670184696566</v>
      </c>
      <c r="H50" s="272">
        <f t="shared" si="16"/>
        <v>312.66490765171505</v>
      </c>
      <c r="I50" s="7"/>
    </row>
    <row r="51" spans="1:20" ht="20.100000000000001" customHeight="1">
      <c r="A51" s="38" t="s">
        <v>445</v>
      </c>
      <c r="B51" s="5" t="s">
        <v>77</v>
      </c>
      <c r="C51" s="198">
        <f t="shared" ref="C51:H51" si="17">IF(C43&gt;0,C48/C10*1000," ")</f>
        <v>96.8</v>
      </c>
      <c r="D51" s="198">
        <f t="shared" si="17"/>
        <v>100.79575596816977</v>
      </c>
      <c r="E51" s="198">
        <f t="shared" si="17"/>
        <v>107.38786279683379</v>
      </c>
      <c r="F51" s="198">
        <f t="shared" si="17"/>
        <v>122.56544502617801</v>
      </c>
      <c r="G51" s="198">
        <f t="shared" si="17"/>
        <v>127.17678100263852</v>
      </c>
      <c r="H51" s="199">
        <f t="shared" si="17"/>
        <v>139.84168865435356</v>
      </c>
      <c r="I51" s="7"/>
    </row>
    <row r="52" spans="1:20" ht="20.100000000000001" customHeight="1">
      <c r="A52" s="37" t="s">
        <v>441</v>
      </c>
      <c r="B52" s="4" t="s">
        <v>77</v>
      </c>
      <c r="C52" s="198">
        <f t="shared" ref="C52:H52" si="18">IF(C43&gt;0,C49/C10*1000," ")</f>
        <v>449.86666666666662</v>
      </c>
      <c r="D52" s="198">
        <f t="shared" si="18"/>
        <v>459.15119363395223</v>
      </c>
      <c r="E52" s="198">
        <f t="shared" si="18"/>
        <v>444.0633245382586</v>
      </c>
      <c r="F52" s="198">
        <f t="shared" si="18"/>
        <v>461.93717277486911</v>
      </c>
      <c r="G52" s="198">
        <f t="shared" si="18"/>
        <v>450.92348284960428</v>
      </c>
      <c r="H52" s="199">
        <f t="shared" si="18"/>
        <v>452.50659630606862</v>
      </c>
      <c r="I52" s="7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ht="20.100000000000001" customHeight="1">
      <c r="A53" s="123" t="s">
        <v>394</v>
      </c>
      <c r="B53" s="124" t="s">
        <v>395</v>
      </c>
      <c r="C53" s="203">
        <f t="shared" ref="C53:H53" si="19">IF(C43&gt;0,C48/C49*100," ")</f>
        <v>21.517486662714877</v>
      </c>
      <c r="D53" s="203">
        <f t="shared" si="19"/>
        <v>21.952628538417102</v>
      </c>
      <c r="E53" s="203">
        <f t="shared" si="19"/>
        <v>24.183006535947712</v>
      </c>
      <c r="F53" s="203">
        <f t="shared" si="19"/>
        <v>26.532925308851862</v>
      </c>
      <c r="G53" s="203">
        <f t="shared" si="19"/>
        <v>28.203627852545342</v>
      </c>
      <c r="H53" s="203">
        <f t="shared" si="19"/>
        <v>30.903790087463555</v>
      </c>
      <c r="I53" s="6"/>
      <c r="K53" s="6"/>
      <c r="L53" s="6"/>
      <c r="M53" s="6"/>
      <c r="N53" s="6"/>
      <c r="O53" s="6"/>
      <c r="P53" s="6"/>
      <c r="Q53" s="6"/>
      <c r="R53" s="6"/>
      <c r="S53" s="6"/>
    </row>
    <row r="54" spans="1:20" ht="17.25" customHeight="1">
      <c r="A54" s="33"/>
      <c r="B54" s="33"/>
      <c r="C54" s="33"/>
      <c r="D54" s="33"/>
      <c r="E54" s="33"/>
      <c r="F54" s="33"/>
      <c r="G54" s="81"/>
      <c r="H54" s="33"/>
      <c r="I54" s="6"/>
      <c r="K54" s="6"/>
      <c r="L54" s="6"/>
      <c r="M54" s="6"/>
      <c r="N54" s="6"/>
      <c r="O54" s="6"/>
      <c r="P54" s="6"/>
      <c r="Q54" s="6"/>
      <c r="R54" s="6"/>
      <c r="S54" s="6"/>
    </row>
    <row r="55" spans="1:20" ht="20.100000000000001" customHeight="1">
      <c r="A55" s="32" t="s">
        <v>423</v>
      </c>
      <c r="B55" s="4"/>
      <c r="C55" s="4"/>
      <c r="D55" s="4"/>
      <c r="E55" s="4"/>
      <c r="F55" s="4"/>
      <c r="G55" s="79"/>
      <c r="H55" s="4"/>
      <c r="J55"/>
      <c r="K55"/>
      <c r="L55"/>
      <c r="M55"/>
      <c r="N55"/>
      <c r="O55"/>
      <c r="P55"/>
      <c r="Q55"/>
    </row>
    <row r="56" spans="1:20" ht="20.100000000000001" customHeight="1">
      <c r="A56" s="35" t="s">
        <v>453</v>
      </c>
      <c r="B56" s="36" t="s">
        <v>73</v>
      </c>
      <c r="C56" s="169">
        <f>'BASIS-regneark'!C59</f>
        <v>66.255840000000006</v>
      </c>
      <c r="D56" s="169">
        <f>'BASIS-regneark'!D59</f>
        <v>19.394639999999999</v>
      </c>
      <c r="E56" s="169">
        <f>'BASIS-regneark'!E59</f>
        <v>17.634815999999997</v>
      </c>
      <c r="F56" s="169">
        <f>'BASIS-regneark'!F59</f>
        <v>17.560511999999999</v>
      </c>
      <c r="G56" s="169">
        <f>'BASIS-regneark'!G59</f>
        <v>17.956799999999998</v>
      </c>
      <c r="H56" s="170">
        <f>'BASIS-regneark'!H59</f>
        <v>17.089920000000003</v>
      </c>
      <c r="I56" s="6"/>
      <c r="J56"/>
      <c r="K56"/>
      <c r="L56"/>
      <c r="M56"/>
      <c r="N56"/>
      <c r="O56"/>
      <c r="P56"/>
      <c r="Q56"/>
      <c r="R56" s="13"/>
      <c r="S56" s="13"/>
      <c r="T56" s="6"/>
    </row>
    <row r="57" spans="1:20" ht="20.100000000000001" customHeight="1">
      <c r="A57" s="38" t="s">
        <v>454</v>
      </c>
      <c r="B57" s="5" t="s">
        <v>73</v>
      </c>
      <c r="C57" s="169">
        <f ca="1">'BASIS-regneark'!C60</f>
        <v>72.191433333333322</v>
      </c>
      <c r="D57" s="169">
        <f ca="1">'BASIS-regneark'!D60</f>
        <v>52.947564986737397</v>
      </c>
      <c r="E57" s="169">
        <f ca="1">'BASIS-regneark'!E60</f>
        <v>43.299142480211088</v>
      </c>
      <c r="F57" s="169">
        <f ca="1">'BASIS-regneark'!F60</f>
        <v>48.602554973821988</v>
      </c>
      <c r="G57" s="169">
        <f ca="1">'BASIS-regneark'!G60</f>
        <v>44.017513456464378</v>
      </c>
      <c r="H57" s="170">
        <f ca="1">'BASIS-regneark'!H60</f>
        <v>32.208607915567285</v>
      </c>
      <c r="I57" s="6"/>
      <c r="J57"/>
      <c r="K57"/>
      <c r="L57"/>
      <c r="M57"/>
      <c r="N57"/>
      <c r="O57"/>
      <c r="P57"/>
      <c r="Q57"/>
      <c r="R57" s="13"/>
      <c r="S57" s="13"/>
      <c r="T57" s="6"/>
    </row>
    <row r="58" spans="1:20" ht="20.100000000000001" customHeight="1">
      <c r="A58" s="37" t="s">
        <v>418</v>
      </c>
      <c r="B58" s="15" t="s">
        <v>73</v>
      </c>
      <c r="C58" s="169">
        <f t="shared" ref="C58:H58" ca="1" si="20">SUM(C56:C57)</f>
        <v>138.44727333333333</v>
      </c>
      <c r="D58" s="169">
        <f t="shared" ca="1" si="20"/>
        <v>72.3422049867374</v>
      </c>
      <c r="E58" s="169">
        <f t="shared" ca="1" si="20"/>
        <v>60.933958480211089</v>
      </c>
      <c r="F58" s="169">
        <f t="shared" ca="1" si="20"/>
        <v>66.163066973821984</v>
      </c>
      <c r="G58" s="169">
        <f t="shared" ca="1" si="20"/>
        <v>61.974313456464373</v>
      </c>
      <c r="H58" s="168">
        <f t="shared" ca="1" si="20"/>
        <v>49.298527915567291</v>
      </c>
      <c r="I58" s="6"/>
      <c r="J58"/>
      <c r="K58"/>
      <c r="L58"/>
      <c r="M58"/>
      <c r="N58"/>
      <c r="O58"/>
      <c r="P58"/>
      <c r="Q58"/>
      <c r="R58" s="6"/>
      <c r="S58" s="6"/>
    </row>
    <row r="59" spans="1:20" ht="20.100000000000001" customHeight="1">
      <c r="A59" s="35" t="s">
        <v>426</v>
      </c>
      <c r="B59" s="50" t="s">
        <v>73</v>
      </c>
      <c r="C59" s="171">
        <f t="shared" ref="C59:H59" si="21">IF(C10&gt;0,C56/C10," ")</f>
        <v>0.17668224000000002</v>
      </c>
      <c r="D59" s="171">
        <f t="shared" si="21"/>
        <v>5.144466843501326E-2</v>
      </c>
      <c r="E59" s="171">
        <f t="shared" si="21"/>
        <v>4.6529857519788914E-2</v>
      </c>
      <c r="F59" s="171">
        <f t="shared" si="21"/>
        <v>4.5969926701570678E-2</v>
      </c>
      <c r="G59" s="171">
        <f t="shared" si="21"/>
        <v>4.7379419525065955E-2</v>
      </c>
      <c r="H59" s="172">
        <f t="shared" si="21"/>
        <v>4.5092137203166231E-2</v>
      </c>
      <c r="I59" s="6"/>
      <c r="J59"/>
      <c r="K59"/>
      <c r="L59"/>
      <c r="M59"/>
      <c r="N59"/>
      <c r="O59"/>
      <c r="P59"/>
      <c r="Q59"/>
      <c r="R59" s="6"/>
      <c r="S59" s="6"/>
    </row>
    <row r="60" spans="1:20" ht="20.100000000000001" customHeight="1">
      <c r="A60" s="38" t="s">
        <v>427</v>
      </c>
      <c r="B60" s="51" t="s">
        <v>73</v>
      </c>
      <c r="C60" s="171">
        <f t="shared" ref="C60:H60" ca="1" si="22">IF(C10&gt;0,C57/C10," ")</f>
        <v>0.19251048888888886</v>
      </c>
      <c r="D60" s="171">
        <f t="shared" ca="1" si="22"/>
        <v>0.14044446946084191</v>
      </c>
      <c r="E60" s="171">
        <f t="shared" ca="1" si="22"/>
        <v>0.11424575852298441</v>
      </c>
      <c r="F60" s="171">
        <f t="shared" ca="1" si="22"/>
        <v>0.12723181930319893</v>
      </c>
      <c r="G60" s="171">
        <f t="shared" ca="1" si="22"/>
        <v>0.11614119645505112</v>
      </c>
      <c r="H60" s="204">
        <f t="shared" ca="1" si="22"/>
        <v>8.498313434186619E-2</v>
      </c>
      <c r="I60" s="6"/>
      <c r="J60"/>
      <c r="K60"/>
      <c r="L60"/>
      <c r="M60"/>
      <c r="N60"/>
      <c r="O60"/>
      <c r="P60"/>
      <c r="Q60"/>
      <c r="R60" s="6"/>
      <c r="S60" s="6"/>
    </row>
    <row r="61" spans="1:20" ht="20.100000000000001" customHeight="1">
      <c r="A61" s="39" t="s">
        <v>419</v>
      </c>
      <c r="B61" s="40" t="s">
        <v>73</v>
      </c>
      <c r="C61" s="180">
        <f t="shared" ref="C61:H61" ca="1" si="23">IF(C10&gt;0,C58/C10," ")</f>
        <v>0.36919272888888888</v>
      </c>
      <c r="D61" s="180">
        <f t="shared" ca="1" si="23"/>
        <v>0.19188913789585518</v>
      </c>
      <c r="E61" s="180">
        <f t="shared" ca="1" si="23"/>
        <v>0.16077561604277332</v>
      </c>
      <c r="F61" s="180">
        <f t="shared" ca="1" si="23"/>
        <v>0.17320174600476959</v>
      </c>
      <c r="G61" s="180">
        <f t="shared" ca="1" si="23"/>
        <v>0.16352061598011708</v>
      </c>
      <c r="H61" s="269">
        <f t="shared" ca="1" si="23"/>
        <v>0.13007527154503243</v>
      </c>
      <c r="I61" s="6"/>
      <c r="J61"/>
      <c r="K61"/>
      <c r="L61"/>
      <c r="M61"/>
      <c r="N61"/>
      <c r="O61"/>
      <c r="P61"/>
      <c r="Q61"/>
    </row>
    <row r="62" spans="1:20" ht="20.100000000000001" customHeight="1">
      <c r="A62" s="41"/>
      <c r="B62" s="41"/>
      <c r="C62" s="33"/>
      <c r="D62" s="52"/>
      <c r="E62" s="52"/>
      <c r="F62" s="52"/>
      <c r="G62" s="52"/>
      <c r="H62" s="41"/>
      <c r="I62" s="6"/>
      <c r="J62"/>
      <c r="K62"/>
      <c r="L62"/>
      <c r="M62"/>
      <c r="N62"/>
      <c r="O62"/>
      <c r="P62"/>
      <c r="Q62"/>
    </row>
    <row r="63" spans="1:20" ht="20.100000000000001" customHeight="1">
      <c r="A63" s="26"/>
      <c r="B63" s="27"/>
      <c r="C63"/>
      <c r="D63" s="27"/>
      <c r="E63" s="27"/>
      <c r="F63" s="28"/>
      <c r="G63" s="28"/>
      <c r="H63" s="29"/>
      <c r="I63" s="6"/>
      <c r="J63"/>
      <c r="K63"/>
      <c r="L63"/>
      <c r="M63"/>
      <c r="N63"/>
      <c r="O63"/>
      <c r="P63"/>
      <c r="Q63"/>
    </row>
    <row r="64" spans="1:20" ht="15" hidden="1" customHeight="1">
      <c r="A64" s="2"/>
      <c r="B64" s="2"/>
      <c r="C64" s="2"/>
      <c r="D64" s="2"/>
      <c r="E64" s="2"/>
      <c r="F64" s="2"/>
      <c r="G64" s="2"/>
      <c r="H64" s="2"/>
    </row>
    <row r="65" spans="1:6" ht="15" customHeight="1"/>
    <row r="66" spans="1:6" ht="15" customHeight="1"/>
    <row r="73" spans="1:6">
      <c r="A73" s="6"/>
      <c r="B73" s="6"/>
      <c r="C73" s="6"/>
      <c r="D73" s="6"/>
      <c r="E73" s="6"/>
      <c r="F73" s="6"/>
    </row>
    <row r="74" spans="1:6">
      <c r="A74" s="6"/>
      <c r="B74" s="6"/>
      <c r="C74" s="6"/>
      <c r="D74" s="6"/>
      <c r="E74" s="6"/>
      <c r="F74" s="6"/>
    </row>
    <row r="80" spans="1:6">
      <c r="A80" s="6"/>
      <c r="B80" s="6"/>
      <c r="C80" s="6"/>
      <c r="D80" s="6"/>
      <c r="E80" s="6"/>
      <c r="F80" s="6"/>
    </row>
    <row r="81" spans="1:6">
      <c r="A81" s="6"/>
      <c r="B81" s="6"/>
      <c r="C81" s="6"/>
      <c r="D81" s="6"/>
      <c r="E81" s="6"/>
      <c r="F81" s="6"/>
    </row>
    <row r="626" spans="1:1">
      <c r="A626" s="9" t="s">
        <v>60</v>
      </c>
    </row>
    <row r="627" spans="1:1">
      <c r="A627" s="9" t="s">
        <v>78</v>
      </c>
    </row>
    <row r="628" spans="1:1">
      <c r="A628" s="9" t="s">
        <v>79</v>
      </c>
    </row>
    <row r="629" spans="1:1">
      <c r="A629" s="9" t="s">
        <v>80</v>
      </c>
    </row>
    <row r="630" spans="1:1">
      <c r="A630" s="9" t="s">
        <v>81</v>
      </c>
    </row>
    <row r="631" spans="1:1">
      <c r="A631" s="9" t="s">
        <v>82</v>
      </c>
    </row>
  </sheetData>
  <sheetProtection sheet="1" objects="1" scenarios="1"/>
  <phoneticPr fontId="35" type="noConversion"/>
  <printOptions horizontalCentered="1" gridLinesSet="0"/>
  <pageMargins left="0.9055118110236221" right="0.6692913385826772" top="0.39370078740157483" bottom="0.51181102362204722" header="1.1417322834645669" footer="0.39370078740157483"/>
  <pageSetup scale="55" orientation="portrait" r:id="rId1"/>
  <headerFooter alignWithMargins="0">
    <oddFooter>&amp;R&amp;8&amp;F</oddFooter>
  </headerFooter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J17"/>
  <sheetViews>
    <sheetView zoomScale="120" zoomScaleNormal="120" zoomScalePageLayoutView="80" workbookViewId="0">
      <selection activeCell="S5" sqref="S5"/>
    </sheetView>
  </sheetViews>
  <sheetFormatPr defaultRowHeight="13.2"/>
  <cols>
    <col min="1" max="10" width="8.6640625" customWidth="1"/>
  </cols>
  <sheetData>
    <row r="1" spans="1:10" ht="22.8">
      <c r="A1" s="139" t="str">
        <f>Indtastningsark!A1</f>
        <v>Grønt Regnskab 2022-23</v>
      </c>
      <c r="B1" s="111"/>
      <c r="C1" s="111"/>
      <c r="D1" s="111"/>
    </row>
    <row r="2" spans="1:10">
      <c r="H2" s="81"/>
      <c r="I2" s="132"/>
    </row>
    <row r="3" spans="1:10" ht="20.399999999999999">
      <c r="A3" s="93" t="str">
        <f>Indtastningsark!D12</f>
        <v>Klimaly</v>
      </c>
      <c r="H3" s="90"/>
      <c r="J3" s="108" t="s">
        <v>452</v>
      </c>
    </row>
    <row r="4" spans="1:10" ht="12.75" customHeight="1">
      <c r="A4" s="89"/>
      <c r="H4" s="90"/>
    </row>
    <row r="17" ht="9" customHeight="1"/>
  </sheetData>
  <sheetProtection sheet="1" objects="1" scenarios="1"/>
  <phoneticPr fontId="35" type="noConversion"/>
  <pageMargins left="0.98425196850393704" right="0.55118110236220474" top="0.98425196850393704" bottom="0.98425196850393704" header="0.51181102362204722" footer="0.51181102362204722"/>
  <pageSetup paperSize="9" orientation="portrait" r:id="rId1"/>
  <headerFooter alignWithMargins="0">
    <oddFooter>&amp;R&amp;8&amp;Fr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/>
  <dimension ref="A1:AB143"/>
  <sheetViews>
    <sheetView topLeftCell="B1" zoomScale="120" zoomScaleNormal="120" workbookViewId="0">
      <selection activeCell="S27" sqref="S27"/>
    </sheetView>
  </sheetViews>
  <sheetFormatPr defaultRowHeight="13.2"/>
  <cols>
    <col min="1" max="1" width="2.88671875" customWidth="1"/>
    <col min="2" max="2" width="15" customWidth="1"/>
    <col min="3" max="14" width="5.33203125" customWidth="1"/>
    <col min="15" max="16" width="10.33203125" customWidth="1"/>
    <col min="17" max="18" width="4.44140625" customWidth="1"/>
    <col min="19" max="19" width="7.88671875" customWidth="1"/>
    <col min="20" max="20" width="7.33203125" customWidth="1"/>
    <col min="21" max="21" width="4" style="232" customWidth="1"/>
    <col min="22" max="22" width="21.77734375" customWidth="1"/>
    <col min="23" max="23" width="8.5546875" customWidth="1"/>
    <col min="24" max="28" width="8.6640625" customWidth="1"/>
  </cols>
  <sheetData>
    <row r="1" spans="1:28" ht="26.25" customHeight="1">
      <c r="A1" s="164" t="s">
        <v>470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8" ht="12.75" customHeight="1">
      <c r="A2" s="16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28" ht="12.75" customHeight="1">
      <c r="A3" s="16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28" ht="14.25" customHeight="1">
      <c r="A4" s="213"/>
      <c r="B4" s="214"/>
      <c r="C4" s="214"/>
      <c r="D4" s="214"/>
      <c r="E4" s="214"/>
      <c r="F4" s="215"/>
      <c r="G4" s="215"/>
      <c r="H4" s="215"/>
      <c r="I4" s="215"/>
      <c r="J4" s="215"/>
      <c r="K4" s="215"/>
      <c r="L4" s="215"/>
      <c r="M4" s="215"/>
      <c r="N4" s="215"/>
      <c r="O4" s="280" t="s">
        <v>6</v>
      </c>
      <c r="P4" s="216"/>
      <c r="Q4" s="211"/>
      <c r="U4" s="234"/>
      <c r="V4" s="228"/>
      <c r="W4" s="228"/>
      <c r="X4" s="228"/>
    </row>
    <row r="5" spans="1:28" ht="18" customHeight="1">
      <c r="A5" s="215"/>
      <c r="B5" s="217"/>
      <c r="C5" s="218" t="s">
        <v>459</v>
      </c>
      <c r="D5" s="218" t="s">
        <v>460</v>
      </c>
      <c r="E5" s="218" t="s">
        <v>461</v>
      </c>
      <c r="F5" s="218" t="s">
        <v>462</v>
      </c>
      <c r="G5" s="218" t="s">
        <v>450</v>
      </c>
      <c r="H5" s="218" t="s">
        <v>463</v>
      </c>
      <c r="I5" s="218" t="s">
        <v>464</v>
      </c>
      <c r="J5" s="218" t="s">
        <v>465</v>
      </c>
      <c r="K5" s="218" t="s">
        <v>466</v>
      </c>
      <c r="L5" s="218" t="s">
        <v>467</v>
      </c>
      <c r="M5" s="218" t="s">
        <v>468</v>
      </c>
      <c r="N5" s="218" t="s">
        <v>469</v>
      </c>
      <c r="O5" s="218" t="s">
        <v>472</v>
      </c>
      <c r="P5" s="218" t="s">
        <v>4</v>
      </c>
      <c r="Q5" s="220"/>
      <c r="R5" s="222"/>
      <c r="S5" s="222"/>
      <c r="U5" s="237"/>
      <c r="V5" s="238" t="s">
        <v>35</v>
      </c>
      <c r="W5" s="237"/>
    </row>
    <row r="6" spans="1:28" ht="14.4" customHeight="1">
      <c r="A6" s="217"/>
      <c r="B6" s="217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20"/>
      <c r="R6" s="222"/>
      <c r="S6" s="222"/>
      <c r="U6" s="239">
        <v>1</v>
      </c>
      <c r="V6" s="240" t="s">
        <v>596</v>
      </c>
      <c r="W6" s="241">
        <f>O7</f>
        <v>2599</v>
      </c>
    </row>
    <row r="7" spans="1:28" ht="13.2" customHeight="1">
      <c r="A7" s="215">
        <v>1</v>
      </c>
      <c r="B7" s="307" t="s">
        <v>580</v>
      </c>
      <c r="C7" s="223">
        <v>477</v>
      </c>
      <c r="D7" s="219">
        <v>435</v>
      </c>
      <c r="E7" s="219">
        <v>412</v>
      </c>
      <c r="F7" s="219">
        <v>242</v>
      </c>
      <c r="G7" s="219">
        <v>51</v>
      </c>
      <c r="H7" s="219">
        <v>0</v>
      </c>
      <c r="I7" s="219">
        <v>0</v>
      </c>
      <c r="J7" s="219">
        <v>0</v>
      </c>
      <c r="K7" s="219">
        <v>23</v>
      </c>
      <c r="L7" s="219">
        <v>190</v>
      </c>
      <c r="M7" s="219">
        <v>334</v>
      </c>
      <c r="N7" s="289">
        <v>435</v>
      </c>
      <c r="O7" s="290">
        <v>2599</v>
      </c>
      <c r="P7" s="257">
        <v>3000</v>
      </c>
      <c r="Q7" s="220"/>
      <c r="R7" s="222"/>
      <c r="S7" s="222"/>
      <c r="U7" s="242">
        <v>2</v>
      </c>
      <c r="V7" s="243" t="s">
        <v>597</v>
      </c>
      <c r="W7" s="244">
        <f>P7</f>
        <v>3000</v>
      </c>
      <c r="X7" s="228"/>
      <c r="Y7" s="228"/>
      <c r="Z7" s="228"/>
      <c r="AA7" s="228"/>
      <c r="AB7" s="228"/>
    </row>
    <row r="8" spans="1:28" s="154" customFormat="1" ht="12" customHeight="1">
      <c r="A8" s="215">
        <v>2</v>
      </c>
      <c r="B8" s="226">
        <v>2018</v>
      </c>
      <c r="C8" s="226">
        <v>429</v>
      </c>
      <c r="D8" s="226">
        <v>483</v>
      </c>
      <c r="E8" s="226">
        <v>505</v>
      </c>
      <c r="F8" s="226">
        <v>149</v>
      </c>
      <c r="G8" s="226">
        <v>0</v>
      </c>
      <c r="H8" s="226">
        <v>0</v>
      </c>
      <c r="I8" s="226">
        <v>0</v>
      </c>
      <c r="J8" s="226">
        <v>0</v>
      </c>
      <c r="K8" s="226">
        <v>42</v>
      </c>
      <c r="L8" s="226">
        <v>164</v>
      </c>
      <c r="M8" s="226">
        <v>312</v>
      </c>
      <c r="N8" s="226">
        <v>384</v>
      </c>
      <c r="O8" s="422">
        <v>2468</v>
      </c>
      <c r="P8" s="258"/>
      <c r="Q8" s="220"/>
      <c r="R8" s="222"/>
      <c r="S8" s="222"/>
      <c r="X8" s="237"/>
      <c r="Y8" s="237"/>
      <c r="Z8" s="237"/>
      <c r="AA8" s="237"/>
      <c r="AB8" s="237"/>
    </row>
    <row r="9" spans="1:28" s="154" customFormat="1">
      <c r="A9" s="215">
        <v>3</v>
      </c>
      <c r="B9" s="226">
        <v>2019</v>
      </c>
      <c r="C9" s="226">
        <v>460</v>
      </c>
      <c r="D9" s="226">
        <v>338</v>
      </c>
      <c r="E9" s="226">
        <v>342</v>
      </c>
      <c r="F9" s="226">
        <v>160</v>
      </c>
      <c r="G9" s="226">
        <v>109</v>
      </c>
      <c r="H9" s="226">
        <v>0</v>
      </c>
      <c r="I9" s="226">
        <v>0</v>
      </c>
      <c r="J9" s="226">
        <v>0</v>
      </c>
      <c r="K9" s="226">
        <v>20</v>
      </c>
      <c r="L9" s="226">
        <v>137</v>
      </c>
      <c r="M9" s="226">
        <v>303</v>
      </c>
      <c r="N9" s="226">
        <v>368</v>
      </c>
      <c r="O9" s="422">
        <v>2237</v>
      </c>
      <c r="P9" s="258"/>
      <c r="Q9" s="220"/>
      <c r="R9" s="222"/>
      <c r="S9" s="222"/>
      <c r="U9" s="237"/>
      <c r="V9" s="238" t="s">
        <v>588</v>
      </c>
      <c r="W9" s="237"/>
      <c r="X9" s="237"/>
      <c r="Y9" s="237"/>
      <c r="Z9" s="237"/>
      <c r="AA9" s="237"/>
      <c r="AB9" s="237"/>
    </row>
    <row r="10" spans="1:28" s="154" customFormat="1">
      <c r="A10" s="215">
        <v>4</v>
      </c>
      <c r="B10" s="226">
        <v>2020</v>
      </c>
      <c r="C10" s="226">
        <v>354</v>
      </c>
      <c r="D10" s="226">
        <v>347</v>
      </c>
      <c r="E10" s="226">
        <v>460</v>
      </c>
      <c r="F10" s="226">
        <v>302</v>
      </c>
      <c r="G10" s="226">
        <v>79</v>
      </c>
      <c r="H10" s="226">
        <v>0</v>
      </c>
      <c r="I10" s="226">
        <v>0</v>
      </c>
      <c r="J10" s="226">
        <v>0</v>
      </c>
      <c r="K10" s="226">
        <v>0</v>
      </c>
      <c r="L10" s="226">
        <v>147</v>
      </c>
      <c r="M10" s="226">
        <v>259</v>
      </c>
      <c r="N10" s="226">
        <v>378</v>
      </c>
      <c r="O10" s="422">
        <v>2326</v>
      </c>
      <c r="P10" s="258"/>
      <c r="Q10" s="220"/>
      <c r="R10" s="222"/>
      <c r="S10" s="222"/>
      <c r="U10" s="239">
        <v>1</v>
      </c>
      <c r="V10" s="294" t="s">
        <v>509</v>
      </c>
      <c r="W10" s="319">
        <v>3.5</v>
      </c>
      <c r="X10" s="237"/>
      <c r="Y10" s="237"/>
      <c r="Z10" s="237"/>
      <c r="AA10" s="237"/>
      <c r="AB10" s="237"/>
    </row>
    <row r="11" spans="1:28" s="154" customFormat="1">
      <c r="A11" s="215">
        <v>5</v>
      </c>
      <c r="B11" s="226">
        <v>2021</v>
      </c>
      <c r="C11" s="226">
        <v>489</v>
      </c>
      <c r="D11" s="226">
        <v>456</v>
      </c>
      <c r="E11" s="226">
        <v>380</v>
      </c>
      <c r="F11" s="226">
        <v>282</v>
      </c>
      <c r="G11" s="226">
        <v>77</v>
      </c>
      <c r="H11" s="226">
        <v>0</v>
      </c>
      <c r="I11" s="226">
        <v>0</v>
      </c>
      <c r="J11" s="226">
        <v>0</v>
      </c>
      <c r="K11" s="226">
        <v>0</v>
      </c>
      <c r="L11" s="226">
        <v>163</v>
      </c>
      <c r="M11" s="226">
        <v>291</v>
      </c>
      <c r="N11" s="226">
        <v>452</v>
      </c>
      <c r="O11" s="422">
        <v>2590</v>
      </c>
      <c r="P11" s="258"/>
      <c r="Q11" s="220"/>
      <c r="R11" s="222"/>
      <c r="S11" s="222"/>
      <c r="U11" s="293">
        <v>2</v>
      </c>
      <c r="V11" s="237">
        <v>3</v>
      </c>
      <c r="W11" s="320">
        <v>3</v>
      </c>
      <c r="X11" s="237"/>
      <c r="Y11" s="237"/>
      <c r="Z11" s="237"/>
      <c r="AA11" s="237"/>
      <c r="AB11" s="237"/>
    </row>
    <row r="12" spans="1:28" s="154" customFormat="1">
      <c r="A12" s="215">
        <v>6</v>
      </c>
      <c r="B12" s="226">
        <v>2022</v>
      </c>
      <c r="C12" s="226">
        <v>401</v>
      </c>
      <c r="D12" s="226">
        <v>359</v>
      </c>
      <c r="E12" s="226">
        <v>382</v>
      </c>
      <c r="F12" s="226">
        <v>257</v>
      </c>
      <c r="G12" s="226">
        <v>0</v>
      </c>
      <c r="H12" s="226">
        <v>0</v>
      </c>
      <c r="I12" s="226">
        <v>0</v>
      </c>
      <c r="J12" s="226">
        <v>0</v>
      </c>
      <c r="K12" s="226">
        <v>35</v>
      </c>
      <c r="L12" s="226">
        <v>25</v>
      </c>
      <c r="M12" s="226">
        <v>259</v>
      </c>
      <c r="N12" s="226">
        <v>460</v>
      </c>
      <c r="O12" s="422">
        <v>2178</v>
      </c>
      <c r="P12" s="258"/>
      <c r="Q12" s="220"/>
      <c r="R12" s="222"/>
      <c r="S12" s="222"/>
      <c r="U12" s="293">
        <v>3</v>
      </c>
      <c r="V12" s="237">
        <v>3.5</v>
      </c>
      <c r="W12" s="320">
        <v>3.5</v>
      </c>
      <c r="X12" s="237"/>
      <c r="Y12" s="237"/>
      <c r="Z12" s="237"/>
      <c r="AA12" s="237"/>
      <c r="AB12" s="237"/>
    </row>
    <row r="13" spans="1:28" s="154" customFormat="1">
      <c r="A13" s="215">
        <v>7</v>
      </c>
      <c r="B13" s="226">
        <v>2023</v>
      </c>
      <c r="C13" s="226">
        <v>392</v>
      </c>
      <c r="D13" s="226">
        <v>370</v>
      </c>
      <c r="E13" s="226">
        <v>395</v>
      </c>
      <c r="F13" s="226">
        <v>235</v>
      </c>
      <c r="G13" s="226">
        <v>56</v>
      </c>
      <c r="H13" s="226">
        <v>0</v>
      </c>
      <c r="I13" s="226">
        <v>0</v>
      </c>
      <c r="J13" s="226">
        <v>0</v>
      </c>
      <c r="K13" s="226">
        <v>0</v>
      </c>
      <c r="L13" s="226">
        <v>149</v>
      </c>
      <c r="M13" s="226">
        <v>356</v>
      </c>
      <c r="N13" s="226">
        <v>413</v>
      </c>
      <c r="O13" s="422">
        <v>2366</v>
      </c>
      <c r="P13" s="258"/>
      <c r="Q13" s="220"/>
      <c r="R13" s="222"/>
      <c r="S13" s="222"/>
      <c r="U13" s="293">
        <v>4</v>
      </c>
      <c r="V13" s="237">
        <v>4</v>
      </c>
      <c r="W13" s="320">
        <v>4</v>
      </c>
      <c r="X13" s="237"/>
      <c r="Y13" s="237"/>
      <c r="Z13" s="237"/>
      <c r="AA13" s="237"/>
      <c r="AB13" s="237"/>
    </row>
    <row r="14" spans="1:28" s="154" customFormat="1">
      <c r="A14" s="215">
        <v>8</v>
      </c>
      <c r="B14" s="226">
        <v>2024</v>
      </c>
      <c r="C14" s="226">
        <v>490</v>
      </c>
      <c r="D14" s="226">
        <v>355</v>
      </c>
      <c r="E14" s="226">
        <v>355</v>
      </c>
      <c r="F14" s="226">
        <v>200</v>
      </c>
      <c r="G14" s="226">
        <v>0</v>
      </c>
      <c r="H14" s="226">
        <v>0</v>
      </c>
      <c r="I14" s="226">
        <v>0</v>
      </c>
      <c r="J14" s="226">
        <v>0</v>
      </c>
      <c r="K14" s="226">
        <v>19</v>
      </c>
      <c r="L14" s="226">
        <v>145</v>
      </c>
      <c r="M14" s="226">
        <v>307</v>
      </c>
      <c r="N14" s="226">
        <v>360</v>
      </c>
      <c r="O14" s="422">
        <v>2231</v>
      </c>
      <c r="P14" s="258"/>
      <c r="Q14" s="220"/>
      <c r="R14" s="222"/>
      <c r="S14" s="222"/>
      <c r="U14" s="293">
        <v>5</v>
      </c>
      <c r="V14" s="237">
        <v>4.5</v>
      </c>
      <c r="W14" s="320">
        <v>4.5</v>
      </c>
      <c r="Y14" s="237"/>
      <c r="Z14" s="237"/>
      <c r="AA14" s="237"/>
      <c r="AB14" s="237"/>
    </row>
    <row r="15" spans="1:28" s="154" customFormat="1">
      <c r="A15" s="215">
        <v>9</v>
      </c>
      <c r="B15" s="307" t="s">
        <v>455</v>
      </c>
      <c r="C15" s="397">
        <v>477</v>
      </c>
      <c r="D15" s="398">
        <v>435</v>
      </c>
      <c r="E15" s="398">
        <v>412</v>
      </c>
      <c r="F15" s="398">
        <v>242</v>
      </c>
      <c r="G15" s="398">
        <v>51</v>
      </c>
      <c r="H15" s="398">
        <v>0</v>
      </c>
      <c r="I15" s="398">
        <v>0</v>
      </c>
      <c r="J15" s="398">
        <v>0</v>
      </c>
      <c r="K15" s="398">
        <v>23</v>
      </c>
      <c r="L15" s="398">
        <v>190</v>
      </c>
      <c r="M15" s="398">
        <v>334</v>
      </c>
      <c r="N15" s="399">
        <v>435</v>
      </c>
      <c r="O15" s="395">
        <v>2599</v>
      </c>
      <c r="P15" s="259"/>
      <c r="Q15" s="212"/>
      <c r="U15" s="242">
        <v>6</v>
      </c>
      <c r="V15" s="318">
        <v>5</v>
      </c>
      <c r="W15" s="321">
        <v>5</v>
      </c>
    </row>
    <row r="16" spans="1:28" s="154" customFormat="1" ht="21" customHeight="1">
      <c r="A16" s="215"/>
      <c r="B16" s="308"/>
      <c r="C16" s="218" t="s">
        <v>464</v>
      </c>
      <c r="D16" s="218" t="s">
        <v>465</v>
      </c>
      <c r="E16" s="218" t="s">
        <v>466</v>
      </c>
      <c r="F16" s="218" t="s">
        <v>467</v>
      </c>
      <c r="G16" s="218" t="s">
        <v>468</v>
      </c>
      <c r="H16" s="218" t="s">
        <v>469</v>
      </c>
      <c r="I16" s="218" t="s">
        <v>459</v>
      </c>
      <c r="J16" s="218" t="s">
        <v>460</v>
      </c>
      <c r="K16" s="218" t="s">
        <v>461</v>
      </c>
      <c r="L16" s="218" t="s">
        <v>462</v>
      </c>
      <c r="M16" s="218" t="s">
        <v>450</v>
      </c>
      <c r="N16" s="218" t="s">
        <v>463</v>
      </c>
      <c r="O16" s="218" t="s">
        <v>472</v>
      </c>
      <c r="P16" s="218" t="s">
        <v>4</v>
      </c>
      <c r="Q16" s="212"/>
      <c r="U16" s="237"/>
      <c r="V16" s="237"/>
      <c r="W16" s="237"/>
      <c r="X16" s="237"/>
      <c r="Y16" s="237"/>
      <c r="Z16" s="237"/>
      <c r="AA16" s="237"/>
      <c r="AB16" s="237"/>
    </row>
    <row r="17" spans="1:28" s="154" customFormat="1" ht="18" customHeight="1">
      <c r="A17" s="215">
        <v>11</v>
      </c>
      <c r="B17" s="307" t="s">
        <v>471</v>
      </c>
      <c r="C17" s="223">
        <v>0</v>
      </c>
      <c r="D17" s="219">
        <v>0</v>
      </c>
      <c r="E17" s="219">
        <v>23</v>
      </c>
      <c r="F17" s="219">
        <v>190</v>
      </c>
      <c r="G17" s="219">
        <v>334</v>
      </c>
      <c r="H17" s="219">
        <v>435</v>
      </c>
      <c r="I17" s="219">
        <v>477</v>
      </c>
      <c r="J17" s="219">
        <v>435</v>
      </c>
      <c r="K17" s="219">
        <v>412</v>
      </c>
      <c r="L17" s="219">
        <v>242</v>
      </c>
      <c r="M17" s="219">
        <v>51</v>
      </c>
      <c r="N17" s="289">
        <v>0</v>
      </c>
      <c r="O17" s="224">
        <v>2599</v>
      </c>
      <c r="P17" s="260"/>
      <c r="Q17" s="212"/>
      <c r="U17" s="234"/>
      <c r="V17" s="245" t="s">
        <v>589</v>
      </c>
      <c r="W17" s="418">
        <v>2018</v>
      </c>
      <c r="X17" s="418">
        <v>2019</v>
      </c>
      <c r="Y17" s="418">
        <v>2020</v>
      </c>
      <c r="Z17" s="418">
        <v>2021</v>
      </c>
      <c r="AA17" s="418">
        <v>2022</v>
      </c>
      <c r="AB17" s="418">
        <v>2023</v>
      </c>
    </row>
    <row r="18" spans="1:28" s="154" customFormat="1">
      <c r="A18" s="215">
        <v>12</v>
      </c>
      <c r="B18" s="423" t="s">
        <v>512</v>
      </c>
      <c r="C18" s="424">
        <f t="shared" ref="C18:H24" si="0">I8</f>
        <v>0</v>
      </c>
      <c r="D18" s="424">
        <f t="shared" si="0"/>
        <v>0</v>
      </c>
      <c r="E18" s="424">
        <f t="shared" si="0"/>
        <v>42</v>
      </c>
      <c r="F18" s="424">
        <f t="shared" si="0"/>
        <v>164</v>
      </c>
      <c r="G18" s="424">
        <f t="shared" si="0"/>
        <v>312</v>
      </c>
      <c r="H18" s="424">
        <f t="shared" si="0"/>
        <v>384</v>
      </c>
      <c r="I18" s="424">
        <f t="shared" ref="I18:N23" si="1">C9</f>
        <v>460</v>
      </c>
      <c r="J18" s="424">
        <f t="shared" si="1"/>
        <v>338</v>
      </c>
      <c r="K18" s="424">
        <f t="shared" si="1"/>
        <v>342</v>
      </c>
      <c r="L18" s="424">
        <f t="shared" si="1"/>
        <v>160</v>
      </c>
      <c r="M18" s="424">
        <f t="shared" si="1"/>
        <v>109</v>
      </c>
      <c r="N18" s="424">
        <f t="shared" si="1"/>
        <v>0</v>
      </c>
      <c r="O18" s="425">
        <f t="shared" ref="O18:O23" si="2">SUM(E18:N18)</f>
        <v>2311</v>
      </c>
      <c r="P18" s="258"/>
      <c r="Q18" s="212"/>
      <c r="U18" s="246">
        <v>1</v>
      </c>
      <c r="V18" s="256" t="s">
        <v>38</v>
      </c>
      <c r="W18" s="247">
        <f>IF(Indtastningsark!D49&gt;0,Indtastningsark!D49,IF(Indtastningsark!D56&gt;0,Indtastningsark!D56*(65-10)/860,Indtastningsark!D39*1))</f>
        <v>250</v>
      </c>
      <c r="X18" s="247">
        <f>IF(Indtastningsark!E49&gt;0,Indtastningsark!E49,IF(Indtastningsark!E56&gt;0,Indtastningsark!E56*(65-10)/860,Indtastningsark!E39*1))</f>
        <v>244</v>
      </c>
      <c r="Y18" s="247">
        <f>IF(Indtastningsark!F49&gt;0,Indtastningsark!F49,IF(Indtastningsark!F56&gt;0,Indtastningsark!F56*(65-10)/860,Indtastningsark!F39*1))</f>
        <v>230</v>
      </c>
      <c r="Z18" s="247">
        <f>IF(Indtastningsark!G49&gt;0,Indtastningsark!G49,IF(Indtastningsark!G56&gt;0,Indtastningsark!G56*(65-10)/860,Indtastningsark!G39*1))</f>
        <v>240</v>
      </c>
      <c r="AA18" s="247">
        <f>IF(Indtastningsark!H49&gt;0,Indtastningsark!H49,IF(Indtastningsark!H56&gt;0,Indtastningsark!H56*(65-10)/860,Indtastningsark!H39*1))</f>
        <v>235</v>
      </c>
      <c r="AB18" s="248">
        <f>IF(Indtastningsark!I49&gt;0,Indtastningsark!I49,IF(Indtastningsark!I56&gt;0,Indtastningsark!I56*(65-10)/860,Indtastningsark!I39*1))</f>
        <v>225</v>
      </c>
    </row>
    <row r="19" spans="1:28" s="154" customFormat="1">
      <c r="A19" s="215">
        <v>13</v>
      </c>
      <c r="B19" s="423" t="s">
        <v>563</v>
      </c>
      <c r="C19" s="424">
        <f t="shared" si="0"/>
        <v>0</v>
      </c>
      <c r="D19" s="424">
        <f t="shared" si="0"/>
        <v>0</v>
      </c>
      <c r="E19" s="424">
        <f t="shared" si="0"/>
        <v>20</v>
      </c>
      <c r="F19" s="424">
        <f t="shared" si="0"/>
        <v>137</v>
      </c>
      <c r="G19" s="424">
        <f t="shared" si="0"/>
        <v>303</v>
      </c>
      <c r="H19" s="424">
        <f t="shared" si="0"/>
        <v>368</v>
      </c>
      <c r="I19" s="424">
        <f t="shared" si="1"/>
        <v>354</v>
      </c>
      <c r="J19" s="424">
        <f t="shared" si="1"/>
        <v>347</v>
      </c>
      <c r="K19" s="424">
        <f t="shared" si="1"/>
        <v>460</v>
      </c>
      <c r="L19" s="424">
        <f t="shared" si="1"/>
        <v>302</v>
      </c>
      <c r="M19" s="424">
        <f t="shared" si="1"/>
        <v>79</v>
      </c>
      <c r="N19" s="424">
        <f t="shared" si="1"/>
        <v>0</v>
      </c>
      <c r="O19" s="425">
        <f t="shared" si="2"/>
        <v>2370</v>
      </c>
      <c r="P19" s="258"/>
      <c r="Q19" s="212"/>
      <c r="U19" s="249">
        <v>2</v>
      </c>
      <c r="V19" s="228" t="s">
        <v>474</v>
      </c>
      <c r="W19" s="250">
        <f>Indtastningsark!D49</f>
        <v>250</v>
      </c>
      <c r="X19" s="250">
        <f>Indtastningsark!E49</f>
        <v>244</v>
      </c>
      <c r="Y19" s="250">
        <f>Indtastningsark!F49</f>
        <v>230</v>
      </c>
      <c r="Z19" s="250">
        <f>Indtastningsark!G49</f>
        <v>240</v>
      </c>
      <c r="AA19" s="250">
        <f>Indtastningsark!H49</f>
        <v>235</v>
      </c>
      <c r="AB19" s="251">
        <f>Indtastningsark!I49</f>
        <v>225</v>
      </c>
    </row>
    <row r="20" spans="1:28" s="154" customFormat="1">
      <c r="A20" s="215">
        <v>14</v>
      </c>
      <c r="B20" s="423" t="s">
        <v>568</v>
      </c>
      <c r="C20" s="424">
        <f t="shared" si="0"/>
        <v>0</v>
      </c>
      <c r="D20" s="424">
        <f t="shared" si="0"/>
        <v>0</v>
      </c>
      <c r="E20" s="424">
        <f t="shared" si="0"/>
        <v>0</v>
      </c>
      <c r="F20" s="424">
        <f t="shared" si="0"/>
        <v>147</v>
      </c>
      <c r="G20" s="424">
        <f t="shared" si="0"/>
        <v>259</v>
      </c>
      <c r="H20" s="424">
        <f t="shared" si="0"/>
        <v>378</v>
      </c>
      <c r="I20" s="424">
        <f t="shared" si="1"/>
        <v>489</v>
      </c>
      <c r="J20" s="424">
        <f t="shared" si="1"/>
        <v>456</v>
      </c>
      <c r="K20" s="424">
        <f t="shared" si="1"/>
        <v>380</v>
      </c>
      <c r="L20" s="424">
        <f t="shared" si="1"/>
        <v>282</v>
      </c>
      <c r="M20" s="424">
        <f t="shared" si="1"/>
        <v>77</v>
      </c>
      <c r="N20" s="424">
        <f t="shared" si="1"/>
        <v>0</v>
      </c>
      <c r="O20" s="425">
        <f t="shared" si="2"/>
        <v>2468</v>
      </c>
      <c r="P20" s="258"/>
      <c r="Q20" s="212"/>
      <c r="U20" s="249">
        <v>3</v>
      </c>
      <c r="V20" s="228" t="s">
        <v>479</v>
      </c>
      <c r="W20" s="250">
        <f>Indtastningsark!D39*1</f>
        <v>375</v>
      </c>
      <c r="X20" s="250">
        <f>Indtastningsark!E39*1</f>
        <v>377</v>
      </c>
      <c r="Y20" s="250">
        <f>Indtastningsark!F39*1</f>
        <v>379</v>
      </c>
      <c r="Z20" s="250">
        <f>Indtastningsark!G39*1</f>
        <v>382</v>
      </c>
      <c r="AA20" s="250">
        <f>Indtastningsark!H39*1</f>
        <v>379</v>
      </c>
      <c r="AB20" s="251">
        <f>Indtastningsark!I39*1</f>
        <v>379</v>
      </c>
    </row>
    <row r="21" spans="1:28" s="154" customFormat="1">
      <c r="A21" s="215">
        <v>15</v>
      </c>
      <c r="B21" s="423" t="s">
        <v>575</v>
      </c>
      <c r="C21" s="424">
        <f t="shared" si="0"/>
        <v>0</v>
      </c>
      <c r="D21" s="424">
        <f t="shared" si="0"/>
        <v>0</v>
      </c>
      <c r="E21" s="424">
        <f t="shared" si="0"/>
        <v>0</v>
      </c>
      <c r="F21" s="424">
        <f t="shared" si="0"/>
        <v>163</v>
      </c>
      <c r="G21" s="424">
        <f t="shared" si="0"/>
        <v>291</v>
      </c>
      <c r="H21" s="424">
        <f t="shared" si="0"/>
        <v>452</v>
      </c>
      <c r="I21" s="424">
        <f t="shared" si="1"/>
        <v>401</v>
      </c>
      <c r="J21" s="424">
        <f t="shared" si="1"/>
        <v>359</v>
      </c>
      <c r="K21" s="424">
        <f t="shared" si="1"/>
        <v>382</v>
      </c>
      <c r="L21" s="424">
        <f t="shared" si="1"/>
        <v>257</v>
      </c>
      <c r="M21" s="424">
        <f t="shared" si="1"/>
        <v>0</v>
      </c>
      <c r="N21" s="424">
        <f t="shared" si="1"/>
        <v>0</v>
      </c>
      <c r="O21" s="425">
        <f t="shared" si="2"/>
        <v>2305</v>
      </c>
      <c r="P21" s="258"/>
      <c r="Q21" s="212"/>
      <c r="U21" s="249">
        <v>4</v>
      </c>
      <c r="V21" s="228" t="s">
        <v>473</v>
      </c>
      <c r="W21" s="250">
        <f>0.25*'BASIS-regneark'!C20</f>
        <v>367.5</v>
      </c>
      <c r="X21" s="250">
        <f>0.25*'BASIS-regneark'!D20</f>
        <v>365</v>
      </c>
      <c r="Y21" s="250">
        <f>0.25*'BASIS-regneark'!E20</f>
        <v>356</v>
      </c>
      <c r="Z21" s="250">
        <f>0.25*'BASIS-regneark'!F20</f>
        <v>354.5</v>
      </c>
      <c r="AA21" s="250">
        <f>0.25*'BASIS-regneark'!G20</f>
        <v>362.5</v>
      </c>
      <c r="AB21" s="251">
        <f>0.25*'BASIS-regneark'!H20</f>
        <v>345</v>
      </c>
    </row>
    <row r="22" spans="1:28" s="154" customFormat="1">
      <c r="A22" s="215">
        <v>16</v>
      </c>
      <c r="B22" s="423" t="s">
        <v>581</v>
      </c>
      <c r="C22" s="424">
        <f t="shared" si="0"/>
        <v>0</v>
      </c>
      <c r="D22" s="424">
        <f t="shared" si="0"/>
        <v>0</v>
      </c>
      <c r="E22" s="424">
        <f t="shared" si="0"/>
        <v>35</v>
      </c>
      <c r="F22" s="424">
        <f t="shared" si="0"/>
        <v>25</v>
      </c>
      <c r="G22" s="424">
        <f t="shared" si="0"/>
        <v>259</v>
      </c>
      <c r="H22" s="424">
        <f t="shared" si="0"/>
        <v>460</v>
      </c>
      <c r="I22" s="424">
        <f t="shared" si="1"/>
        <v>392</v>
      </c>
      <c r="J22" s="424">
        <f t="shared" si="1"/>
        <v>370</v>
      </c>
      <c r="K22" s="424">
        <f t="shared" si="1"/>
        <v>395</v>
      </c>
      <c r="L22" s="424">
        <f t="shared" si="1"/>
        <v>235</v>
      </c>
      <c r="M22" s="424">
        <f t="shared" si="1"/>
        <v>56</v>
      </c>
      <c r="N22" s="424">
        <f t="shared" si="1"/>
        <v>0</v>
      </c>
      <c r="O22" s="425">
        <f t="shared" si="2"/>
        <v>2227</v>
      </c>
      <c r="P22" s="258"/>
      <c r="Q22" s="212"/>
      <c r="U22" s="249">
        <v>5</v>
      </c>
      <c r="V22" s="228" t="s">
        <v>507</v>
      </c>
      <c r="W22" s="250">
        <f>0.3*'BASIS-regneark'!C20</f>
        <v>441</v>
      </c>
      <c r="X22" s="250">
        <f>0.3*'BASIS-regneark'!D20</f>
        <v>438</v>
      </c>
      <c r="Y22" s="250">
        <f>0.3*'BASIS-regneark'!E20</f>
        <v>427.2</v>
      </c>
      <c r="Z22" s="250">
        <f>0.3*'BASIS-regneark'!F20</f>
        <v>425.4</v>
      </c>
      <c r="AA22" s="250">
        <f>0.3*'BASIS-regneark'!G20</f>
        <v>435</v>
      </c>
      <c r="AB22" s="251">
        <f>0.3*'BASIS-regneark'!H20</f>
        <v>414</v>
      </c>
    </row>
    <row r="23" spans="1:28" s="154" customFormat="1">
      <c r="A23" s="215">
        <v>17</v>
      </c>
      <c r="B23" s="423" t="s">
        <v>587</v>
      </c>
      <c r="C23" s="424">
        <f t="shared" si="0"/>
        <v>0</v>
      </c>
      <c r="D23" s="424">
        <f t="shared" si="0"/>
        <v>0</v>
      </c>
      <c r="E23" s="424">
        <f t="shared" si="0"/>
        <v>0</v>
      </c>
      <c r="F23" s="424">
        <f t="shared" si="0"/>
        <v>149</v>
      </c>
      <c r="G23" s="424">
        <f t="shared" si="0"/>
        <v>356</v>
      </c>
      <c r="H23" s="424">
        <f t="shared" si="0"/>
        <v>413</v>
      </c>
      <c r="I23" s="424">
        <f t="shared" si="1"/>
        <v>490</v>
      </c>
      <c r="J23" s="424">
        <f t="shared" si="1"/>
        <v>355</v>
      </c>
      <c r="K23" s="424">
        <f t="shared" si="1"/>
        <v>355</v>
      </c>
      <c r="L23" s="424">
        <f t="shared" si="1"/>
        <v>200</v>
      </c>
      <c r="M23" s="424">
        <f t="shared" si="1"/>
        <v>0</v>
      </c>
      <c r="N23" s="424">
        <f t="shared" si="1"/>
        <v>0</v>
      </c>
      <c r="O23" s="425">
        <f t="shared" si="2"/>
        <v>2318</v>
      </c>
      <c r="P23" s="258"/>
      <c r="Q23" s="212"/>
      <c r="U23" s="249">
        <v>6</v>
      </c>
      <c r="V23" s="228" t="s">
        <v>508</v>
      </c>
      <c r="W23" s="250">
        <f>0.4*'BASIS-regneark'!C20</f>
        <v>588</v>
      </c>
      <c r="X23" s="250">
        <f>0.4*'BASIS-regneark'!D20</f>
        <v>584</v>
      </c>
      <c r="Y23" s="250">
        <f>0.4*'BASIS-regneark'!E20</f>
        <v>569.6</v>
      </c>
      <c r="Z23" s="250">
        <f>0.4*'BASIS-regneark'!F20</f>
        <v>567.20000000000005</v>
      </c>
      <c r="AA23" s="250">
        <f>0.4*'BASIS-regneark'!G20</f>
        <v>580</v>
      </c>
      <c r="AB23" s="251">
        <f>0.4*'BASIS-regneark'!H20</f>
        <v>552</v>
      </c>
    </row>
    <row r="24" spans="1:28" s="154" customFormat="1">
      <c r="A24" s="215">
        <v>18</v>
      </c>
      <c r="B24" s="423" t="s">
        <v>593</v>
      </c>
      <c r="C24" s="424">
        <f t="shared" si="0"/>
        <v>0</v>
      </c>
      <c r="D24" s="424">
        <f t="shared" si="0"/>
        <v>0</v>
      </c>
      <c r="E24" s="424">
        <f t="shared" si="0"/>
        <v>19</v>
      </c>
      <c r="F24" s="424">
        <f t="shared" si="0"/>
        <v>145</v>
      </c>
      <c r="G24" s="424">
        <f t="shared" si="0"/>
        <v>307</v>
      </c>
      <c r="H24" s="424">
        <f t="shared" si="0"/>
        <v>360</v>
      </c>
      <c r="I24" s="424"/>
      <c r="J24" s="424"/>
      <c r="K24" s="424"/>
      <c r="L24" s="424"/>
      <c r="M24" s="424"/>
      <c r="N24" s="424"/>
      <c r="O24" s="425"/>
      <c r="P24" s="258"/>
      <c r="Q24" s="212"/>
      <c r="U24" s="252">
        <v>7</v>
      </c>
      <c r="V24" s="296" t="s">
        <v>36</v>
      </c>
      <c r="W24" s="253">
        <f>0.3*Indtastningsark!D55*(65-10)/860</f>
        <v>229.84883720930233</v>
      </c>
      <c r="X24" s="253">
        <f>0.3*Indtastningsark!E55*(65-10)/860</f>
        <v>219.48837209302326</v>
      </c>
      <c r="Y24" s="253">
        <f>0.3*Indtastningsark!F55*(65-10)/860</f>
        <v>231</v>
      </c>
      <c r="Z24" s="253">
        <f>0.3*Indtastningsark!G55*(65-10)/860</f>
        <v>230.61627906976744</v>
      </c>
      <c r="AA24" s="253">
        <f>0.3*Indtastningsark!H55*(65-10)/860</f>
        <v>222.55813953488371</v>
      </c>
      <c r="AB24" s="254">
        <f>0.3*Indtastningsark!I55*(65-10)/860</f>
        <v>225.43604651162789</v>
      </c>
    </row>
    <row r="25" spans="1:28" s="154" customFormat="1">
      <c r="A25" s="215">
        <v>19</v>
      </c>
      <c r="B25" s="396" t="s">
        <v>455</v>
      </c>
      <c r="C25" s="397">
        <f>C17</f>
        <v>0</v>
      </c>
      <c r="D25" s="398">
        <f t="shared" ref="D25:N25" si="3">D17</f>
        <v>0</v>
      </c>
      <c r="E25" s="398">
        <f t="shared" si="3"/>
        <v>23</v>
      </c>
      <c r="F25" s="398">
        <f t="shared" si="3"/>
        <v>190</v>
      </c>
      <c r="G25" s="398">
        <f t="shared" si="3"/>
        <v>334</v>
      </c>
      <c r="H25" s="398">
        <f t="shared" si="3"/>
        <v>435</v>
      </c>
      <c r="I25" s="398">
        <f t="shared" si="3"/>
        <v>477</v>
      </c>
      <c r="J25" s="398">
        <f t="shared" si="3"/>
        <v>435</v>
      </c>
      <c r="K25" s="398">
        <f t="shared" si="3"/>
        <v>412</v>
      </c>
      <c r="L25" s="398">
        <f t="shared" si="3"/>
        <v>242</v>
      </c>
      <c r="M25" s="398">
        <f t="shared" si="3"/>
        <v>51</v>
      </c>
      <c r="N25" s="399">
        <f t="shared" si="3"/>
        <v>0</v>
      </c>
      <c r="O25" s="395">
        <f t="shared" ref="O25" si="4">SUM(C25:N25)</f>
        <v>2599</v>
      </c>
      <c r="P25" s="259"/>
      <c r="Q25" s="212"/>
    </row>
    <row r="26" spans="1:28" s="154" customFormat="1">
      <c r="A26" s="218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2"/>
    </row>
    <row r="27" spans="1:28" s="154" customFormat="1">
      <c r="A27" s="207"/>
      <c r="C27" s="207"/>
      <c r="D27" s="207"/>
      <c r="E27" s="207"/>
      <c r="F27" s="279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/>
    </row>
    <row r="28" spans="1:28" s="154" customFormat="1" ht="15.6">
      <c r="B28" s="209" t="s">
        <v>498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</row>
    <row r="29" spans="1:28" s="154" customFormat="1">
      <c r="A29" s="207"/>
      <c r="B29" s="208" t="s">
        <v>2</v>
      </c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</row>
    <row r="30" spans="1:28" s="154" customFormat="1">
      <c r="A30"/>
      <c r="B30" s="208" t="s">
        <v>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28" ht="15.6">
      <c r="B31" s="210" t="s">
        <v>5</v>
      </c>
    </row>
    <row r="102" spans="5:5">
      <c r="E102" s="225"/>
    </row>
    <row r="122" spans="2:2">
      <c r="B122" s="207"/>
    </row>
    <row r="123" spans="2:2">
      <c r="B123" s="226"/>
    </row>
    <row r="124" spans="2:2">
      <c r="B124" s="207"/>
    </row>
    <row r="125" spans="2:2">
      <c r="B125" s="207"/>
    </row>
    <row r="126" spans="2:2">
      <c r="B126" s="207"/>
    </row>
    <row r="127" spans="2:2">
      <c r="B127" s="207"/>
    </row>
    <row r="128" spans="2:2">
      <c r="B128" s="207"/>
    </row>
    <row r="129" spans="2:2">
      <c r="B129" s="207"/>
    </row>
    <row r="130" spans="2:2">
      <c r="B130" s="207"/>
    </row>
    <row r="131" spans="2:2">
      <c r="B131" s="226"/>
    </row>
    <row r="132" spans="2:2">
      <c r="B132" s="226"/>
    </row>
    <row r="133" spans="2:2">
      <c r="B133" s="207"/>
    </row>
    <row r="134" spans="2:2">
      <c r="B134" s="207"/>
    </row>
    <row r="135" spans="2:2">
      <c r="B135" s="207"/>
    </row>
    <row r="136" spans="2:2">
      <c r="B136" s="207"/>
    </row>
    <row r="137" spans="2:2">
      <c r="B137" s="207"/>
    </row>
    <row r="138" spans="2:2">
      <c r="B138" s="207"/>
    </row>
    <row r="139" spans="2:2">
      <c r="B139" s="207"/>
    </row>
    <row r="140" spans="2:2">
      <c r="B140" s="33"/>
    </row>
    <row r="141" spans="2:2">
      <c r="B141" s="33"/>
    </row>
    <row r="142" spans="2:2">
      <c r="B142" s="33"/>
    </row>
    <row r="143" spans="2:2">
      <c r="B143" s="33"/>
    </row>
  </sheetData>
  <sheetProtection sheet="1" objects="1" scenarios="1"/>
  <phoneticPr fontId="35" type="noConversion"/>
  <hyperlinks>
    <hyperlink ref="O1" location="'CO2-emissionstal'!E1" display="'CO2-emissionstal'!E1" xr:uid="{00000000-0004-0000-0600-000000000000}"/>
    <hyperlink ref="O4" r:id="rId1" xr:uid="{00000000-0004-0000-0600-000001000000}"/>
  </hyperlinks>
  <pageMargins left="0.74803149606299213" right="0.74803149606299213" top="0.98425196850393704" bottom="0.98425196850393704" header="0.51181102362204722" footer="0.51181102362204722"/>
  <pageSetup paperSize="9" scale="75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7"/>
  <dimension ref="A1:T8"/>
  <sheetViews>
    <sheetView workbookViewId="0">
      <selection activeCell="A3" sqref="A3:T5"/>
    </sheetView>
  </sheetViews>
  <sheetFormatPr defaultRowHeight="13.2"/>
  <sheetData>
    <row r="1" spans="1:20" ht="27.6">
      <c r="B1" s="145" t="s">
        <v>569</v>
      </c>
    </row>
    <row r="3" spans="1:20" s="232" customFormat="1">
      <c r="B3" s="232">
        <v>1</v>
      </c>
      <c r="C3" s="232">
        <f>B3+1</f>
        <v>2</v>
      </c>
      <c r="D3" s="232">
        <f t="shared" ref="D3:J3" si="0">C3+1</f>
        <v>3</v>
      </c>
      <c r="E3" s="232">
        <f t="shared" si="0"/>
        <v>4</v>
      </c>
      <c r="F3" s="232">
        <f t="shared" si="0"/>
        <v>5</v>
      </c>
      <c r="G3" s="232">
        <f t="shared" si="0"/>
        <v>6</v>
      </c>
      <c r="H3" s="232">
        <f t="shared" si="0"/>
        <v>7</v>
      </c>
      <c r="I3" s="232">
        <f t="shared" si="0"/>
        <v>8</v>
      </c>
      <c r="J3" s="232">
        <f t="shared" si="0"/>
        <v>9</v>
      </c>
      <c r="K3" s="232">
        <f t="shared" ref="K3" si="1">J3+1</f>
        <v>10</v>
      </c>
      <c r="L3" s="232">
        <f t="shared" ref="L3" si="2">K3+1</f>
        <v>11</v>
      </c>
      <c r="M3" s="232">
        <f t="shared" ref="M3" si="3">L3+1</f>
        <v>12</v>
      </c>
      <c r="N3" s="232">
        <f t="shared" ref="N3" si="4">M3+1</f>
        <v>13</v>
      </c>
      <c r="O3" s="232">
        <f t="shared" ref="O3" si="5">N3+1</f>
        <v>14</v>
      </c>
      <c r="P3" s="232">
        <f t="shared" ref="P3" si="6">O3+1</f>
        <v>15</v>
      </c>
      <c r="Q3" s="232">
        <f t="shared" ref="Q3" si="7">P3+1</f>
        <v>16</v>
      </c>
      <c r="R3" s="232">
        <f t="shared" ref="R3" si="8">Q3+1</f>
        <v>17</v>
      </c>
      <c r="S3" s="232">
        <f t="shared" ref="S3" si="9">R3+1</f>
        <v>18</v>
      </c>
      <c r="T3" s="232">
        <f t="shared" ref="T3" si="10">S3+1</f>
        <v>19</v>
      </c>
    </row>
    <row r="4" spans="1:20" s="336" customFormat="1" ht="26.4">
      <c r="B4" s="406" t="s">
        <v>584</v>
      </c>
      <c r="C4" s="335">
        <v>2017</v>
      </c>
      <c r="D4" s="335">
        <v>2018</v>
      </c>
      <c r="E4" s="335">
        <v>2019</v>
      </c>
      <c r="F4" s="335">
        <v>2020</v>
      </c>
      <c r="G4" s="335">
        <v>2021</v>
      </c>
      <c r="H4" s="335">
        <v>2022</v>
      </c>
      <c r="I4" s="335">
        <v>2023</v>
      </c>
      <c r="J4" s="406" t="s">
        <v>591</v>
      </c>
      <c r="K4" s="407"/>
      <c r="L4" s="406" t="s">
        <v>584</v>
      </c>
      <c r="M4" s="335" t="s">
        <v>510</v>
      </c>
      <c r="N4" s="335" t="s">
        <v>511</v>
      </c>
      <c r="O4" s="335" t="s">
        <v>512</v>
      </c>
      <c r="P4" s="335" t="s">
        <v>563</v>
      </c>
      <c r="Q4" s="335" t="s">
        <v>568</v>
      </c>
      <c r="R4" s="335" t="s">
        <v>575</v>
      </c>
      <c r="S4" s="406" t="s">
        <v>583</v>
      </c>
      <c r="T4" s="406" t="s">
        <v>591</v>
      </c>
    </row>
    <row r="5" spans="1:20">
      <c r="A5" s="333" t="s">
        <v>570</v>
      </c>
      <c r="B5" s="333">
        <f>L5</f>
        <v>120.25</v>
      </c>
      <c r="C5" s="328">
        <v>184</v>
      </c>
      <c r="D5" s="328">
        <v>202</v>
      </c>
      <c r="E5" s="328">
        <v>149</v>
      </c>
      <c r="F5" s="328">
        <v>125</v>
      </c>
      <c r="G5" s="328">
        <v>136</v>
      </c>
      <c r="H5" s="328">
        <v>124</v>
      </c>
      <c r="I5" s="328">
        <v>96</v>
      </c>
      <c r="J5" s="328">
        <v>90</v>
      </c>
      <c r="K5" s="408"/>
      <c r="L5" s="328">
        <f>AVERAGE(F5:I5)</f>
        <v>120.25</v>
      </c>
      <c r="M5" s="334">
        <f t="shared" ref="M5:R5" si="11">AVERAGE(C5:D5)</f>
        <v>193</v>
      </c>
      <c r="N5" s="334">
        <f t="shared" si="11"/>
        <v>175.5</v>
      </c>
      <c r="O5" s="334">
        <f t="shared" si="11"/>
        <v>137</v>
      </c>
      <c r="P5" s="334">
        <f t="shared" si="11"/>
        <v>130.5</v>
      </c>
      <c r="Q5" s="334">
        <f t="shared" si="11"/>
        <v>130</v>
      </c>
      <c r="R5" s="334">
        <f t="shared" si="11"/>
        <v>110</v>
      </c>
      <c r="S5" s="334">
        <f>J5</f>
        <v>90</v>
      </c>
      <c r="T5" s="334">
        <f>J5</f>
        <v>90</v>
      </c>
    </row>
    <row r="6" spans="1:20">
      <c r="B6" s="232"/>
    </row>
    <row r="7" spans="1:20" s="232" customFormat="1" ht="14.4" customHeight="1"/>
    <row r="8" spans="1:20" s="232" customFormat="1">
      <c r="B8" s="232" t="str">
        <f>A5</f>
        <v>g/kWh</v>
      </c>
    </row>
  </sheetData>
  <sheetProtection sheet="1" objects="1" scenarios="1"/>
  <phoneticPr fontId="90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U375"/>
  <sheetViews>
    <sheetView workbookViewId="0">
      <selection activeCell="J1" sqref="J1"/>
    </sheetView>
  </sheetViews>
  <sheetFormatPr defaultRowHeight="13.2"/>
  <cols>
    <col min="1" max="1" width="9.109375" customWidth="1"/>
    <col min="3" max="3" width="34.6640625" customWidth="1"/>
    <col min="4" max="4" width="8.6640625" customWidth="1"/>
    <col min="5" max="6" width="8.6640625" style="314" customWidth="1"/>
    <col min="7" max="7" width="8.6640625" style="323" customWidth="1"/>
    <col min="8" max="8" width="8.6640625" style="313" customWidth="1"/>
    <col min="9" max="11" width="8.6640625" style="389" customWidth="1"/>
    <col min="12" max="12" width="7" customWidth="1"/>
    <col min="13" max="13" width="6.77734375" style="410" customWidth="1"/>
    <col min="14" max="14" width="9.5546875" style="410" bestFit="1" customWidth="1"/>
    <col min="15" max="17" width="9.5546875" bestFit="1" customWidth="1"/>
    <col min="20" max="20" width="9" customWidth="1"/>
    <col min="21" max="21" width="9.5546875" style="410" bestFit="1" customWidth="1"/>
  </cols>
  <sheetData>
    <row r="1" spans="1:21" s="86" customFormat="1" ht="21" customHeight="1">
      <c r="A1" s="145" t="s">
        <v>431</v>
      </c>
      <c r="B1" s="145"/>
      <c r="E1" s="297"/>
      <c r="F1" s="297"/>
      <c r="G1" s="322"/>
      <c r="I1" s="388"/>
      <c r="J1" s="388"/>
      <c r="K1" s="388"/>
      <c r="M1" s="409"/>
      <c r="N1" s="409"/>
      <c r="U1" s="409"/>
    </row>
    <row r="2" spans="1:21" s="86" customFormat="1" ht="15" customHeight="1">
      <c r="A2" s="273" t="s">
        <v>573</v>
      </c>
      <c r="B2" s="273"/>
      <c r="C2" s="273"/>
      <c r="D2" s="273"/>
      <c r="E2" s="303"/>
      <c r="F2" s="303"/>
      <c r="G2" s="322"/>
      <c r="I2" s="392"/>
      <c r="J2" s="392"/>
      <c r="K2" s="392"/>
      <c r="L2" s="392"/>
      <c r="M2" s="409"/>
      <c r="N2" s="409"/>
      <c r="U2" s="409"/>
    </row>
    <row r="3" spans="1:21" s="86" customFormat="1" ht="15" customHeight="1">
      <c r="A3" s="403" t="s">
        <v>582</v>
      </c>
      <c r="B3" s="403"/>
      <c r="C3" s="404"/>
      <c r="E3" s="297"/>
      <c r="F3" s="297"/>
      <c r="G3" s="322"/>
      <c r="I3" s="392"/>
      <c r="J3" s="392"/>
      <c r="K3" s="392"/>
      <c r="L3" s="392"/>
      <c r="M3" s="409"/>
      <c r="N3" s="409"/>
      <c r="U3" s="409"/>
    </row>
    <row r="4" spans="1:21">
      <c r="A4" s="313"/>
      <c r="B4" s="313"/>
      <c r="C4" s="313"/>
      <c r="D4" s="313">
        <v>1</v>
      </c>
      <c r="E4" s="313">
        <f t="shared" ref="E4" si="0">D4+1</f>
        <v>2</v>
      </c>
      <c r="F4" s="313">
        <f t="shared" ref="F4" si="1">E4+1</f>
        <v>3</v>
      </c>
      <c r="G4" s="313">
        <f t="shared" ref="G4" si="2">F4+1</f>
        <v>4</v>
      </c>
      <c r="H4" s="313">
        <f t="shared" ref="H4" si="3">G4+1</f>
        <v>5</v>
      </c>
      <c r="I4" s="313">
        <f t="shared" ref="I4" si="4">H4+1</f>
        <v>6</v>
      </c>
      <c r="J4" s="313">
        <f t="shared" ref="J4" si="5">I4+1</f>
        <v>7</v>
      </c>
      <c r="K4" s="313">
        <f t="shared" ref="K4" si="6">J4+1</f>
        <v>8</v>
      </c>
      <c r="L4" s="313">
        <f t="shared" ref="L4" si="7">K4+1</f>
        <v>9</v>
      </c>
      <c r="M4" s="313">
        <f t="shared" ref="M4" si="8">L4+1</f>
        <v>10</v>
      </c>
      <c r="N4" s="313">
        <f t="shared" ref="N4" si="9">M4+1</f>
        <v>11</v>
      </c>
      <c r="O4" s="313">
        <f t="shared" ref="O4" si="10">N4+1</f>
        <v>12</v>
      </c>
      <c r="P4" s="313">
        <f t="shared" ref="P4" si="11">O4+1</f>
        <v>13</v>
      </c>
      <c r="Q4" s="313">
        <f t="shared" ref="Q4" si="12">P4+1</f>
        <v>14</v>
      </c>
      <c r="R4" s="313">
        <f t="shared" ref="R4" si="13">Q4+1</f>
        <v>15</v>
      </c>
      <c r="S4" s="313">
        <f t="shared" ref="S4" si="14">R4+1</f>
        <v>16</v>
      </c>
      <c r="T4" s="313">
        <f t="shared" ref="T4" si="15">S4+1</f>
        <v>17</v>
      </c>
      <c r="U4" s="313">
        <f t="shared" ref="U4" si="16">T4+1</f>
        <v>18</v>
      </c>
    </row>
    <row r="5" spans="1:21" ht="39.6">
      <c r="A5" s="313" t="s">
        <v>572</v>
      </c>
      <c r="C5" t="s">
        <v>543</v>
      </c>
      <c r="D5" s="325" t="s">
        <v>458</v>
      </c>
      <c r="E5" s="316">
        <v>2018</v>
      </c>
      <c r="F5" s="401">
        <v>2019</v>
      </c>
      <c r="G5" s="401">
        <v>2020</v>
      </c>
      <c r="H5" s="401">
        <v>2021</v>
      </c>
      <c r="I5" s="401">
        <v>2022</v>
      </c>
      <c r="J5" s="401">
        <v>2023</v>
      </c>
      <c r="K5" s="401">
        <v>2024</v>
      </c>
      <c r="L5" s="402" t="s">
        <v>607</v>
      </c>
      <c r="M5" s="411" t="s">
        <v>455</v>
      </c>
      <c r="N5" s="412" t="s">
        <v>471</v>
      </c>
      <c r="O5" s="332" t="s">
        <v>512</v>
      </c>
      <c r="P5" s="332" t="s">
        <v>563</v>
      </c>
      <c r="Q5" s="332" t="s">
        <v>568</v>
      </c>
      <c r="R5" s="332" t="s">
        <v>575</v>
      </c>
      <c r="S5" s="332" t="s">
        <v>581</v>
      </c>
      <c r="T5" s="405" t="s">
        <v>587</v>
      </c>
      <c r="U5" s="411" t="s">
        <v>455</v>
      </c>
    </row>
    <row r="6" spans="1:21" ht="15.6">
      <c r="D6" s="326" t="s">
        <v>564</v>
      </c>
      <c r="E6" s="326"/>
      <c r="F6" s="326"/>
      <c r="G6" s="326"/>
      <c r="H6" s="327"/>
      <c r="I6" s="392"/>
      <c r="J6" s="392"/>
      <c r="K6" s="392"/>
      <c r="L6" s="392"/>
    </row>
    <row r="7" spans="1:21">
      <c r="B7">
        <v>1</v>
      </c>
      <c r="C7" t="s">
        <v>547</v>
      </c>
      <c r="D7" s="391">
        <f t="shared" ref="D7:D70" si="17">I7</f>
        <v>26.208000000000002</v>
      </c>
      <c r="E7" s="390">
        <v>34.270778348667697</v>
      </c>
      <c r="F7" s="400">
        <v>26.135999999999999</v>
      </c>
      <c r="G7" s="400">
        <v>23.616</v>
      </c>
      <c r="H7" s="400">
        <v>26.208000000000002</v>
      </c>
      <c r="I7" s="400">
        <v>26.208000000000002</v>
      </c>
      <c r="J7" s="400">
        <v>26.208000000000002</v>
      </c>
      <c r="K7" s="400">
        <v>26.208000000000002</v>
      </c>
      <c r="L7" s="400">
        <f t="shared" ref="L7:L70" si="18">AVERAGE(F7:I7)</f>
        <v>25.541999999999998</v>
      </c>
      <c r="M7" s="413">
        <f t="shared" ref="M7:M70" si="19">L7</f>
        <v>25.541999999999998</v>
      </c>
      <c r="N7" s="413">
        <f t="shared" ref="N7:N70" si="20">L7</f>
        <v>25.541999999999998</v>
      </c>
      <c r="O7" s="393">
        <f t="shared" ref="O7:O70" si="21">AVERAGE(E7:F7)</f>
        <v>30.20338917433385</v>
      </c>
      <c r="P7" s="393">
        <f t="shared" ref="P7:P70" si="22">AVERAGE(F7:G7)</f>
        <v>24.875999999999998</v>
      </c>
      <c r="Q7" s="393">
        <f t="shared" ref="Q7:Q70" si="23">AVERAGE(G7:H7)</f>
        <v>24.911999999999999</v>
      </c>
      <c r="R7" s="393">
        <f t="shared" ref="R7:R70" si="24">AVERAGE(H7:I7)</f>
        <v>26.208000000000002</v>
      </c>
      <c r="S7" s="393">
        <f t="shared" ref="S7:S70" si="25">AVERAGE(I7:L7)</f>
        <v>26.041500000000003</v>
      </c>
      <c r="T7" s="393">
        <f>N7</f>
        <v>25.541999999999998</v>
      </c>
      <c r="U7" s="413">
        <f>N7</f>
        <v>25.541999999999998</v>
      </c>
    </row>
    <row r="8" spans="1:21">
      <c r="A8">
        <v>280</v>
      </c>
      <c r="B8">
        <v>2</v>
      </c>
      <c r="C8" t="s">
        <v>548</v>
      </c>
      <c r="D8" s="391">
        <f t="shared" si="17"/>
        <v>2.8440000000000003</v>
      </c>
      <c r="E8" s="390">
        <v>8.6024368887878104</v>
      </c>
      <c r="F8" s="400">
        <v>264.56399999999996</v>
      </c>
      <c r="G8" s="400">
        <v>264.63600000000002</v>
      </c>
      <c r="H8" s="400">
        <v>2.8440000000000003</v>
      </c>
      <c r="I8" s="400">
        <v>2.8440000000000003</v>
      </c>
      <c r="J8" s="400">
        <v>2.8440000000000003</v>
      </c>
      <c r="K8" s="400">
        <v>2.8440000000000003</v>
      </c>
      <c r="L8" s="400">
        <f t="shared" si="18"/>
        <v>133.72200000000004</v>
      </c>
      <c r="M8" s="413">
        <f t="shared" si="19"/>
        <v>133.72200000000004</v>
      </c>
      <c r="N8" s="413">
        <f t="shared" si="20"/>
        <v>133.72200000000004</v>
      </c>
      <c r="O8" s="393">
        <f t="shared" si="21"/>
        <v>136.58321844439388</v>
      </c>
      <c r="P8" s="393">
        <f t="shared" si="22"/>
        <v>264.60000000000002</v>
      </c>
      <c r="Q8" s="393">
        <f t="shared" si="23"/>
        <v>133.74</v>
      </c>
      <c r="R8" s="393">
        <f t="shared" si="24"/>
        <v>2.8440000000000003</v>
      </c>
      <c r="S8" s="393">
        <f t="shared" si="25"/>
        <v>35.563500000000012</v>
      </c>
      <c r="T8" s="393">
        <f t="shared" ref="T8:T71" si="26">N8</f>
        <v>133.72200000000004</v>
      </c>
      <c r="U8" s="413">
        <f>N8</f>
        <v>133.72200000000004</v>
      </c>
    </row>
    <row r="9" spans="1:21">
      <c r="A9">
        <v>219</v>
      </c>
      <c r="B9">
        <v>3</v>
      </c>
      <c r="C9" t="s">
        <v>549</v>
      </c>
      <c r="D9" s="391">
        <f t="shared" si="17"/>
        <v>0</v>
      </c>
      <c r="E9" s="390">
        <v>0</v>
      </c>
      <c r="F9" s="400">
        <v>0</v>
      </c>
      <c r="G9" s="400">
        <v>0</v>
      </c>
      <c r="H9" s="400">
        <v>0</v>
      </c>
      <c r="I9" s="400">
        <v>0</v>
      </c>
      <c r="J9" s="400">
        <v>0</v>
      </c>
      <c r="K9" s="400">
        <v>0</v>
      </c>
      <c r="L9" s="400">
        <f t="shared" si="18"/>
        <v>0</v>
      </c>
      <c r="M9" s="413">
        <f t="shared" si="19"/>
        <v>0</v>
      </c>
      <c r="N9" s="413">
        <f t="shared" si="20"/>
        <v>0</v>
      </c>
      <c r="O9" s="393">
        <f t="shared" si="21"/>
        <v>0</v>
      </c>
      <c r="P9" s="393">
        <f t="shared" si="22"/>
        <v>0</v>
      </c>
      <c r="Q9" s="393">
        <f t="shared" si="23"/>
        <v>0</v>
      </c>
      <c r="R9" s="393">
        <f t="shared" si="24"/>
        <v>0</v>
      </c>
      <c r="S9" s="393">
        <f t="shared" si="25"/>
        <v>0</v>
      </c>
      <c r="T9" s="393">
        <f t="shared" si="26"/>
        <v>0</v>
      </c>
      <c r="U9" s="413">
        <f t="shared" ref="U9:U71" si="27">N9</f>
        <v>0</v>
      </c>
    </row>
    <row r="10" spans="1:21">
      <c r="A10">
        <v>292</v>
      </c>
      <c r="B10">
        <v>4</v>
      </c>
      <c r="C10" t="s">
        <v>550</v>
      </c>
      <c r="D10" s="391">
        <f t="shared" si="17"/>
        <v>120.096</v>
      </c>
      <c r="E10" s="390">
        <v>127.78685961123109</v>
      </c>
      <c r="F10" s="400">
        <v>127.044</v>
      </c>
      <c r="G10" s="400">
        <v>167.76000000000002</v>
      </c>
      <c r="H10" s="400">
        <v>120.096</v>
      </c>
      <c r="I10" s="400">
        <v>120.096</v>
      </c>
      <c r="J10" s="400">
        <v>120.096</v>
      </c>
      <c r="K10" s="400">
        <v>120.096</v>
      </c>
      <c r="L10" s="400">
        <f t="shared" si="18"/>
        <v>133.74900000000002</v>
      </c>
      <c r="M10" s="413">
        <f t="shared" si="19"/>
        <v>133.74900000000002</v>
      </c>
      <c r="N10" s="413">
        <f t="shared" si="20"/>
        <v>133.74900000000002</v>
      </c>
      <c r="O10" s="393">
        <f t="shared" si="21"/>
        <v>127.41542980561555</v>
      </c>
      <c r="P10" s="393">
        <f t="shared" si="22"/>
        <v>147.40200000000002</v>
      </c>
      <c r="Q10" s="393">
        <f t="shared" si="23"/>
        <v>143.928</v>
      </c>
      <c r="R10" s="393">
        <f t="shared" si="24"/>
        <v>120.096</v>
      </c>
      <c r="S10" s="393">
        <f t="shared" si="25"/>
        <v>123.50925000000001</v>
      </c>
      <c r="T10" s="393">
        <f t="shared" si="26"/>
        <v>133.74900000000002</v>
      </c>
      <c r="U10" s="413">
        <f t="shared" si="27"/>
        <v>133.74900000000002</v>
      </c>
    </row>
    <row r="11" spans="1:21">
      <c r="A11">
        <v>243</v>
      </c>
      <c r="B11">
        <v>5</v>
      </c>
      <c r="C11" t="s">
        <v>551</v>
      </c>
      <c r="D11" s="391">
        <f t="shared" si="17"/>
        <v>0.14400000000000002</v>
      </c>
      <c r="E11" s="390">
        <v>0.37113295395757884</v>
      </c>
      <c r="F11" s="400">
        <v>0.14400000000000002</v>
      </c>
      <c r="G11" s="400">
        <v>0.18000000000000002</v>
      </c>
      <c r="H11" s="400">
        <v>0.14400000000000002</v>
      </c>
      <c r="I11" s="400">
        <v>0.14400000000000002</v>
      </c>
      <c r="J11" s="400">
        <v>0.14400000000000002</v>
      </c>
      <c r="K11" s="400">
        <v>0.14400000000000002</v>
      </c>
      <c r="L11" s="400">
        <f t="shared" si="18"/>
        <v>0.15300000000000002</v>
      </c>
      <c r="M11" s="413">
        <f t="shared" si="19"/>
        <v>0.15300000000000002</v>
      </c>
      <c r="N11" s="413">
        <f t="shared" si="20"/>
        <v>0.15300000000000002</v>
      </c>
      <c r="O11" s="393">
        <f t="shared" si="21"/>
        <v>0.25756647697878943</v>
      </c>
      <c r="P11" s="393">
        <f t="shared" si="22"/>
        <v>0.16200000000000003</v>
      </c>
      <c r="Q11" s="393">
        <f t="shared" si="23"/>
        <v>0.16200000000000003</v>
      </c>
      <c r="R11" s="393">
        <f t="shared" si="24"/>
        <v>0.14400000000000002</v>
      </c>
      <c r="S11" s="393">
        <f t="shared" si="25"/>
        <v>0.14625000000000002</v>
      </c>
      <c r="T11" s="393">
        <f t="shared" si="26"/>
        <v>0.15300000000000002</v>
      </c>
      <c r="U11" s="413">
        <f t="shared" si="27"/>
        <v>0.15300000000000002</v>
      </c>
    </row>
    <row r="12" spans="1:21">
      <c r="A12">
        <v>139</v>
      </c>
      <c r="B12">
        <v>6</v>
      </c>
      <c r="C12" t="s">
        <v>552</v>
      </c>
      <c r="D12" s="391">
        <f t="shared" si="17"/>
        <v>74.34</v>
      </c>
      <c r="E12" s="390">
        <v>102.29784327815889</v>
      </c>
      <c r="F12" s="400">
        <v>65.628</v>
      </c>
      <c r="G12" s="400">
        <v>75.024000000000001</v>
      </c>
      <c r="H12" s="400">
        <v>74.34</v>
      </c>
      <c r="I12" s="400">
        <v>74.34</v>
      </c>
      <c r="J12" s="400">
        <v>74.34</v>
      </c>
      <c r="K12" s="400">
        <v>74.34</v>
      </c>
      <c r="L12" s="400">
        <f t="shared" si="18"/>
        <v>72.332999999999998</v>
      </c>
      <c r="M12" s="413">
        <f t="shared" si="19"/>
        <v>72.332999999999998</v>
      </c>
      <c r="N12" s="413">
        <f t="shared" si="20"/>
        <v>72.332999999999998</v>
      </c>
      <c r="O12" s="393">
        <f t="shared" si="21"/>
        <v>83.96292163907944</v>
      </c>
      <c r="P12" s="393">
        <f t="shared" si="22"/>
        <v>70.325999999999993</v>
      </c>
      <c r="Q12" s="393">
        <f t="shared" si="23"/>
        <v>74.682000000000002</v>
      </c>
      <c r="R12" s="393">
        <f t="shared" si="24"/>
        <v>74.34</v>
      </c>
      <c r="S12" s="393">
        <f t="shared" si="25"/>
        <v>73.838250000000002</v>
      </c>
      <c r="T12" s="393">
        <f t="shared" si="26"/>
        <v>72.332999999999998</v>
      </c>
      <c r="U12" s="413">
        <f t="shared" si="27"/>
        <v>72.332999999999998</v>
      </c>
    </row>
    <row r="13" spans="1:21">
      <c r="A13">
        <v>272</v>
      </c>
      <c r="B13">
        <v>7</v>
      </c>
      <c r="C13" t="s">
        <v>199</v>
      </c>
      <c r="D13" s="391">
        <f t="shared" si="17"/>
        <v>5.1479999999999997</v>
      </c>
      <c r="E13" s="390">
        <v>1.9997461265103054</v>
      </c>
      <c r="F13" s="400">
        <v>20.303999999999998</v>
      </c>
      <c r="G13" s="400">
        <v>5.4359999999999999</v>
      </c>
      <c r="H13" s="400">
        <v>5.1479999999999997</v>
      </c>
      <c r="I13" s="400">
        <v>5.1479999999999997</v>
      </c>
      <c r="J13" s="400">
        <v>5.1479999999999997</v>
      </c>
      <c r="K13" s="400">
        <v>5.1479999999999997</v>
      </c>
      <c r="L13" s="400">
        <f t="shared" si="18"/>
        <v>9.0090000000000003</v>
      </c>
      <c r="M13" s="413">
        <f t="shared" si="19"/>
        <v>9.0090000000000003</v>
      </c>
      <c r="N13" s="413">
        <f t="shared" si="20"/>
        <v>9.0090000000000003</v>
      </c>
      <c r="O13" s="393">
        <f t="shared" si="21"/>
        <v>11.151873063255152</v>
      </c>
      <c r="P13" s="393">
        <f t="shared" si="22"/>
        <v>12.87</v>
      </c>
      <c r="Q13" s="393">
        <f t="shared" si="23"/>
        <v>5.2919999999999998</v>
      </c>
      <c r="R13" s="393">
        <f t="shared" si="24"/>
        <v>5.1479999999999997</v>
      </c>
      <c r="S13" s="393">
        <f t="shared" si="25"/>
        <v>6.1132499999999999</v>
      </c>
      <c r="T13" s="393">
        <f t="shared" si="26"/>
        <v>9.0090000000000003</v>
      </c>
      <c r="U13" s="413">
        <f t="shared" si="27"/>
        <v>9.0090000000000003</v>
      </c>
    </row>
    <row r="14" spans="1:21">
      <c r="A14">
        <v>166</v>
      </c>
      <c r="B14">
        <v>8</v>
      </c>
      <c r="C14" t="s">
        <v>495</v>
      </c>
      <c r="D14" s="391">
        <f t="shared" si="17"/>
        <v>0.46800000000000003</v>
      </c>
      <c r="E14" s="390">
        <v>3.2084113936149876</v>
      </c>
      <c r="F14" s="400">
        <v>0</v>
      </c>
      <c r="G14" s="400">
        <v>1.1160000000000001</v>
      </c>
      <c r="H14" s="400">
        <v>0.46800000000000003</v>
      </c>
      <c r="I14" s="400">
        <v>0.46800000000000003</v>
      </c>
      <c r="J14" s="400">
        <v>0.46800000000000003</v>
      </c>
      <c r="K14" s="400">
        <v>0.46800000000000003</v>
      </c>
      <c r="L14" s="400">
        <f t="shared" si="18"/>
        <v>0.51300000000000001</v>
      </c>
      <c r="M14" s="413">
        <f t="shared" si="19"/>
        <v>0.51300000000000001</v>
      </c>
      <c r="N14" s="413">
        <f t="shared" si="20"/>
        <v>0.51300000000000001</v>
      </c>
      <c r="O14" s="393">
        <f t="shared" si="21"/>
        <v>1.6042056968074938</v>
      </c>
      <c r="P14" s="393">
        <f t="shared" si="22"/>
        <v>0.55800000000000005</v>
      </c>
      <c r="Q14" s="393">
        <f t="shared" si="23"/>
        <v>0.79200000000000004</v>
      </c>
      <c r="R14" s="393">
        <f t="shared" si="24"/>
        <v>0.46800000000000003</v>
      </c>
      <c r="S14" s="393">
        <f t="shared" si="25"/>
        <v>0.47925000000000006</v>
      </c>
      <c r="T14" s="393">
        <f t="shared" si="26"/>
        <v>0.51300000000000001</v>
      </c>
      <c r="U14" s="413">
        <f t="shared" si="27"/>
        <v>0.51300000000000001</v>
      </c>
    </row>
    <row r="15" spans="1:21">
      <c r="A15">
        <v>209</v>
      </c>
      <c r="B15">
        <v>9</v>
      </c>
      <c r="C15" t="s">
        <v>481</v>
      </c>
      <c r="D15" s="391">
        <f t="shared" si="17"/>
        <v>0.57600000000000007</v>
      </c>
      <c r="E15" s="390">
        <v>9.9788521640988059E-2</v>
      </c>
      <c r="F15" s="400">
        <v>0.82800000000000007</v>
      </c>
      <c r="G15" s="400">
        <v>0.32400000000000001</v>
      </c>
      <c r="H15" s="400">
        <v>0.57600000000000007</v>
      </c>
      <c r="I15" s="400">
        <v>0.57600000000000007</v>
      </c>
      <c r="J15" s="400">
        <v>0.57600000000000007</v>
      </c>
      <c r="K15" s="400">
        <v>0.57600000000000007</v>
      </c>
      <c r="L15" s="400">
        <f t="shared" si="18"/>
        <v>0.57600000000000007</v>
      </c>
      <c r="M15" s="413">
        <f t="shared" si="19"/>
        <v>0.57600000000000007</v>
      </c>
      <c r="N15" s="413">
        <f t="shared" si="20"/>
        <v>0.57600000000000007</v>
      </c>
      <c r="O15" s="393">
        <f t="shared" si="21"/>
        <v>0.46389426082049406</v>
      </c>
      <c r="P15" s="393">
        <f t="shared" si="22"/>
        <v>0.57600000000000007</v>
      </c>
      <c r="Q15" s="393">
        <f t="shared" si="23"/>
        <v>0.45000000000000007</v>
      </c>
      <c r="R15" s="393">
        <f t="shared" si="24"/>
        <v>0.57600000000000007</v>
      </c>
      <c r="S15" s="393">
        <f t="shared" si="25"/>
        <v>0.57600000000000007</v>
      </c>
      <c r="T15" s="393">
        <f t="shared" si="26"/>
        <v>0.57600000000000007</v>
      </c>
      <c r="U15" s="413">
        <f t="shared" si="27"/>
        <v>0.57600000000000007</v>
      </c>
    </row>
    <row r="16" spans="1:21">
      <c r="A16">
        <v>71</v>
      </c>
      <c r="B16">
        <v>10</v>
      </c>
      <c r="C16" t="s">
        <v>103</v>
      </c>
      <c r="D16" s="391">
        <f t="shared" si="17"/>
        <v>5.0759999999999996</v>
      </c>
      <c r="E16" s="390">
        <v>1.2918517890452774</v>
      </c>
      <c r="F16" s="400">
        <v>2.556</v>
      </c>
      <c r="G16" s="400">
        <v>2.1240000000000001</v>
      </c>
      <c r="H16" s="400">
        <v>5.0759999999999996</v>
      </c>
      <c r="I16" s="400">
        <v>5.0759999999999996</v>
      </c>
      <c r="J16" s="400">
        <v>5.0759999999999996</v>
      </c>
      <c r="K16" s="400">
        <v>5.0759999999999996</v>
      </c>
      <c r="L16" s="400">
        <f t="shared" si="18"/>
        <v>3.7080000000000002</v>
      </c>
      <c r="M16" s="413">
        <f t="shared" si="19"/>
        <v>3.7080000000000002</v>
      </c>
      <c r="N16" s="413">
        <f t="shared" si="20"/>
        <v>3.7080000000000002</v>
      </c>
      <c r="O16" s="393">
        <f t="shared" si="21"/>
        <v>1.9239258945226387</v>
      </c>
      <c r="P16" s="393">
        <f t="shared" si="22"/>
        <v>2.34</v>
      </c>
      <c r="Q16" s="393">
        <f t="shared" si="23"/>
        <v>3.5999999999999996</v>
      </c>
      <c r="R16" s="393">
        <f t="shared" si="24"/>
        <v>5.0759999999999996</v>
      </c>
      <c r="S16" s="393">
        <f t="shared" si="25"/>
        <v>4.734</v>
      </c>
      <c r="T16" s="393">
        <f t="shared" si="26"/>
        <v>3.7080000000000002</v>
      </c>
      <c r="U16" s="413">
        <f t="shared" si="27"/>
        <v>3.7080000000000002</v>
      </c>
    </row>
    <row r="17" spans="1:21">
      <c r="A17">
        <v>375</v>
      </c>
      <c r="B17">
        <v>11</v>
      </c>
      <c r="C17" t="s">
        <v>104</v>
      </c>
      <c r="D17" s="391">
        <f t="shared" si="17"/>
        <v>27.971999999999998</v>
      </c>
      <c r="E17" s="390">
        <v>153.42036011072466</v>
      </c>
      <c r="F17" s="400">
        <v>110.41200000000001</v>
      </c>
      <c r="G17" s="400">
        <v>77.328000000000003</v>
      </c>
      <c r="H17" s="400">
        <v>27.971999999999998</v>
      </c>
      <c r="I17" s="400">
        <v>27.971999999999998</v>
      </c>
      <c r="J17" s="400">
        <v>27.971999999999998</v>
      </c>
      <c r="K17" s="400">
        <v>27.971999999999998</v>
      </c>
      <c r="L17" s="400">
        <f t="shared" si="18"/>
        <v>60.921000000000006</v>
      </c>
      <c r="M17" s="413">
        <f t="shared" si="19"/>
        <v>60.921000000000006</v>
      </c>
      <c r="N17" s="413">
        <f t="shared" si="20"/>
        <v>60.921000000000006</v>
      </c>
      <c r="O17" s="393">
        <f t="shared" si="21"/>
        <v>131.91618005536233</v>
      </c>
      <c r="P17" s="393">
        <f t="shared" si="22"/>
        <v>93.87</v>
      </c>
      <c r="Q17" s="393">
        <f t="shared" si="23"/>
        <v>52.65</v>
      </c>
      <c r="R17" s="393">
        <f t="shared" si="24"/>
        <v>27.971999999999998</v>
      </c>
      <c r="S17" s="393">
        <f t="shared" si="25"/>
        <v>36.209249999999997</v>
      </c>
      <c r="T17" s="393">
        <f t="shared" si="26"/>
        <v>60.921000000000006</v>
      </c>
      <c r="U17" s="413">
        <f t="shared" si="27"/>
        <v>60.921000000000006</v>
      </c>
    </row>
    <row r="18" spans="1:21">
      <c r="A18">
        <v>281</v>
      </c>
      <c r="B18">
        <v>12</v>
      </c>
      <c r="C18" t="s">
        <v>105</v>
      </c>
      <c r="D18" s="391">
        <f t="shared" si="17"/>
        <v>127.44</v>
      </c>
      <c r="E18" s="390">
        <v>108.27504059167605</v>
      </c>
      <c r="F18" s="400">
        <v>110.08799999999999</v>
      </c>
      <c r="G18" s="400">
        <v>43.235999999999997</v>
      </c>
      <c r="H18" s="400">
        <v>127.44</v>
      </c>
      <c r="I18" s="400">
        <v>127.44</v>
      </c>
      <c r="J18" s="400">
        <v>127.44</v>
      </c>
      <c r="K18" s="400">
        <v>127.44</v>
      </c>
      <c r="L18" s="400">
        <f t="shared" si="18"/>
        <v>102.051</v>
      </c>
      <c r="M18" s="413">
        <f t="shared" si="19"/>
        <v>102.051</v>
      </c>
      <c r="N18" s="413">
        <f t="shared" si="20"/>
        <v>102.051</v>
      </c>
      <c r="O18" s="393">
        <f t="shared" si="21"/>
        <v>109.18152029583803</v>
      </c>
      <c r="P18" s="393">
        <f t="shared" si="22"/>
        <v>76.661999999999992</v>
      </c>
      <c r="Q18" s="393">
        <f t="shared" si="23"/>
        <v>85.337999999999994</v>
      </c>
      <c r="R18" s="393">
        <f t="shared" si="24"/>
        <v>127.44</v>
      </c>
      <c r="S18" s="393">
        <f t="shared" si="25"/>
        <v>121.09275</v>
      </c>
      <c r="T18" s="393">
        <f t="shared" si="26"/>
        <v>102.051</v>
      </c>
      <c r="U18" s="413">
        <f t="shared" si="27"/>
        <v>102.051</v>
      </c>
    </row>
    <row r="19" spans="1:21">
      <c r="A19">
        <v>96</v>
      </c>
      <c r="B19">
        <v>13</v>
      </c>
      <c r="C19" t="s">
        <v>106</v>
      </c>
      <c r="D19" s="391">
        <f t="shared" si="17"/>
        <v>28.655999999999999</v>
      </c>
      <c r="E19" s="390">
        <v>82.573602569362379</v>
      </c>
      <c r="F19" s="400">
        <v>72.971999999999994</v>
      </c>
      <c r="G19" s="400">
        <v>46.835999999999999</v>
      </c>
      <c r="H19" s="400">
        <v>28.655999999999999</v>
      </c>
      <c r="I19" s="400">
        <v>28.655999999999999</v>
      </c>
      <c r="J19" s="400">
        <v>28.655999999999999</v>
      </c>
      <c r="K19" s="400">
        <v>28.655999999999999</v>
      </c>
      <c r="L19" s="400">
        <f t="shared" si="18"/>
        <v>44.28</v>
      </c>
      <c r="M19" s="413">
        <f t="shared" si="19"/>
        <v>44.28</v>
      </c>
      <c r="N19" s="413">
        <f t="shared" si="20"/>
        <v>44.28</v>
      </c>
      <c r="O19" s="393">
        <f t="shared" si="21"/>
        <v>77.772801284681179</v>
      </c>
      <c r="P19" s="393">
        <f t="shared" si="22"/>
        <v>59.903999999999996</v>
      </c>
      <c r="Q19" s="393">
        <f t="shared" si="23"/>
        <v>37.745999999999995</v>
      </c>
      <c r="R19" s="393">
        <f t="shared" si="24"/>
        <v>28.655999999999999</v>
      </c>
      <c r="S19" s="393">
        <f t="shared" si="25"/>
        <v>32.561999999999998</v>
      </c>
      <c r="T19" s="393">
        <f t="shared" si="26"/>
        <v>44.28</v>
      </c>
      <c r="U19" s="413">
        <f t="shared" si="27"/>
        <v>44.28</v>
      </c>
    </row>
    <row r="20" spans="1:21">
      <c r="A20">
        <v>159</v>
      </c>
      <c r="B20">
        <v>14</v>
      </c>
      <c r="C20" t="s">
        <v>107</v>
      </c>
      <c r="D20" s="391">
        <f t="shared" si="17"/>
        <v>0</v>
      </c>
      <c r="E20" s="390">
        <v>0</v>
      </c>
      <c r="F20" s="400">
        <v>0</v>
      </c>
      <c r="G20" s="400">
        <v>0</v>
      </c>
      <c r="H20" s="400">
        <v>0</v>
      </c>
      <c r="I20" s="400">
        <v>0</v>
      </c>
      <c r="J20" s="400">
        <v>0</v>
      </c>
      <c r="K20" s="400">
        <v>0</v>
      </c>
      <c r="L20" s="400">
        <f t="shared" si="18"/>
        <v>0</v>
      </c>
      <c r="M20" s="413">
        <f t="shared" si="19"/>
        <v>0</v>
      </c>
      <c r="N20" s="413">
        <f t="shared" si="20"/>
        <v>0</v>
      </c>
      <c r="O20" s="393">
        <f t="shared" si="21"/>
        <v>0</v>
      </c>
      <c r="P20" s="393">
        <f t="shared" si="22"/>
        <v>0</v>
      </c>
      <c r="Q20" s="393">
        <f t="shared" si="23"/>
        <v>0</v>
      </c>
      <c r="R20" s="393">
        <f t="shared" si="24"/>
        <v>0</v>
      </c>
      <c r="S20" s="393">
        <f t="shared" si="25"/>
        <v>0</v>
      </c>
      <c r="T20" s="393">
        <f t="shared" si="26"/>
        <v>0</v>
      </c>
      <c r="U20" s="413">
        <f t="shared" si="27"/>
        <v>0</v>
      </c>
    </row>
    <row r="21" spans="1:21">
      <c r="A21">
        <v>227</v>
      </c>
      <c r="B21">
        <v>15</v>
      </c>
      <c r="C21" t="s">
        <v>14</v>
      </c>
      <c r="D21" s="391">
        <f t="shared" si="17"/>
        <v>1.9080000000000001</v>
      </c>
      <c r="E21" s="390">
        <v>13.818144342353682</v>
      </c>
      <c r="F21" s="400">
        <v>26.028000000000002</v>
      </c>
      <c r="G21" s="400">
        <v>0.46800000000000003</v>
      </c>
      <c r="H21" s="400">
        <v>1.9080000000000001</v>
      </c>
      <c r="I21" s="400">
        <v>1.9080000000000001</v>
      </c>
      <c r="J21" s="400">
        <v>1.9080000000000001</v>
      </c>
      <c r="K21" s="400">
        <v>1.9080000000000001</v>
      </c>
      <c r="L21" s="400">
        <f t="shared" si="18"/>
        <v>7.5780000000000012</v>
      </c>
      <c r="M21" s="413">
        <f t="shared" si="19"/>
        <v>7.5780000000000012</v>
      </c>
      <c r="N21" s="413">
        <f t="shared" si="20"/>
        <v>7.5780000000000012</v>
      </c>
      <c r="O21" s="393">
        <f t="shared" si="21"/>
        <v>19.923072171176841</v>
      </c>
      <c r="P21" s="393">
        <f t="shared" si="22"/>
        <v>13.248000000000001</v>
      </c>
      <c r="Q21" s="393">
        <f t="shared" si="23"/>
        <v>1.1880000000000002</v>
      </c>
      <c r="R21" s="393">
        <f t="shared" si="24"/>
        <v>1.9080000000000001</v>
      </c>
      <c r="S21" s="393">
        <f t="shared" si="25"/>
        <v>3.3255000000000003</v>
      </c>
      <c r="T21" s="393">
        <f t="shared" si="26"/>
        <v>7.5780000000000012</v>
      </c>
      <c r="U21" s="413">
        <f t="shared" si="27"/>
        <v>7.5780000000000012</v>
      </c>
    </row>
    <row r="22" spans="1:21">
      <c r="A22">
        <v>415</v>
      </c>
      <c r="B22">
        <v>16</v>
      </c>
      <c r="C22" t="s">
        <v>513</v>
      </c>
      <c r="D22" s="391">
        <f t="shared" si="17"/>
        <v>7.0919999999999996</v>
      </c>
      <c r="E22" s="390">
        <v>1.7740617774566474</v>
      </c>
      <c r="F22" s="400">
        <v>9.468</v>
      </c>
      <c r="G22" s="400">
        <v>3.06</v>
      </c>
      <c r="H22" s="400">
        <v>7.0919999999999996</v>
      </c>
      <c r="I22" s="400">
        <v>7.0919999999999996</v>
      </c>
      <c r="J22" s="400">
        <v>7.0919999999999996</v>
      </c>
      <c r="K22" s="400">
        <v>7.0919999999999996</v>
      </c>
      <c r="L22" s="400">
        <f t="shared" si="18"/>
        <v>6.6779999999999999</v>
      </c>
      <c r="M22" s="413">
        <f t="shared" si="19"/>
        <v>6.6779999999999999</v>
      </c>
      <c r="N22" s="413">
        <f t="shared" si="20"/>
        <v>6.6779999999999999</v>
      </c>
      <c r="O22" s="393">
        <f t="shared" si="21"/>
        <v>5.621030888728324</v>
      </c>
      <c r="P22" s="393">
        <f t="shared" si="22"/>
        <v>6.2640000000000002</v>
      </c>
      <c r="Q22" s="393">
        <f t="shared" si="23"/>
        <v>5.0759999999999996</v>
      </c>
      <c r="R22" s="393">
        <f t="shared" si="24"/>
        <v>7.0919999999999996</v>
      </c>
      <c r="S22" s="393">
        <f t="shared" si="25"/>
        <v>6.9885000000000002</v>
      </c>
      <c r="T22" s="393">
        <f t="shared" si="26"/>
        <v>6.6779999999999999</v>
      </c>
      <c r="U22" s="413">
        <f t="shared" si="27"/>
        <v>6.6779999999999999</v>
      </c>
    </row>
    <row r="23" spans="1:21">
      <c r="A23">
        <v>447</v>
      </c>
      <c r="B23">
        <v>17</v>
      </c>
      <c r="C23" t="s">
        <v>576</v>
      </c>
      <c r="D23" s="391">
        <f t="shared" si="17"/>
        <v>5.3280000000000003</v>
      </c>
      <c r="E23" s="390">
        <v>0.33790819719271759</v>
      </c>
      <c r="F23" s="400">
        <v>0.46800000000000003</v>
      </c>
      <c r="G23" s="400">
        <v>7.2000000000000008E-2</v>
      </c>
      <c r="H23" s="400">
        <v>5.3280000000000003</v>
      </c>
      <c r="I23" s="400">
        <v>5.3280000000000003</v>
      </c>
      <c r="J23" s="400">
        <v>5.3280000000000003</v>
      </c>
      <c r="K23" s="400">
        <v>5.3280000000000003</v>
      </c>
      <c r="L23" s="400">
        <f t="shared" si="18"/>
        <v>2.7990000000000004</v>
      </c>
      <c r="M23" s="413">
        <f t="shared" si="19"/>
        <v>2.7990000000000004</v>
      </c>
      <c r="N23" s="413">
        <f t="shared" si="20"/>
        <v>2.7990000000000004</v>
      </c>
      <c r="O23" s="393">
        <f t="shared" si="21"/>
        <v>0.40295409859635878</v>
      </c>
      <c r="P23" s="393">
        <f t="shared" si="22"/>
        <v>0.27</v>
      </c>
      <c r="Q23" s="393">
        <f t="shared" si="23"/>
        <v>2.7</v>
      </c>
      <c r="R23" s="393">
        <f t="shared" si="24"/>
        <v>5.3280000000000003</v>
      </c>
      <c r="S23" s="393">
        <f t="shared" si="25"/>
        <v>4.6957500000000003</v>
      </c>
      <c r="T23" s="393">
        <f t="shared" si="26"/>
        <v>2.7990000000000004</v>
      </c>
      <c r="U23" s="413">
        <f t="shared" si="27"/>
        <v>2.7990000000000004</v>
      </c>
    </row>
    <row r="24" spans="1:21">
      <c r="A24">
        <v>256</v>
      </c>
      <c r="B24">
        <v>18</v>
      </c>
      <c r="C24" t="s">
        <v>108</v>
      </c>
      <c r="D24" s="391">
        <f t="shared" si="17"/>
        <v>7.7040000000000006</v>
      </c>
      <c r="E24" s="390">
        <v>2.1427709632012872</v>
      </c>
      <c r="F24" s="400">
        <v>5.5440000000000005</v>
      </c>
      <c r="G24" s="400">
        <v>4.1760000000000002</v>
      </c>
      <c r="H24" s="400">
        <v>7.7040000000000006</v>
      </c>
      <c r="I24" s="400">
        <v>7.7040000000000006</v>
      </c>
      <c r="J24" s="400">
        <v>7.7040000000000006</v>
      </c>
      <c r="K24" s="400">
        <v>7.7040000000000006</v>
      </c>
      <c r="L24" s="400">
        <f t="shared" si="18"/>
        <v>6.282</v>
      </c>
      <c r="M24" s="413">
        <f t="shared" si="19"/>
        <v>6.282</v>
      </c>
      <c r="N24" s="413">
        <f t="shared" si="20"/>
        <v>6.282</v>
      </c>
      <c r="O24" s="393">
        <f t="shared" si="21"/>
        <v>3.8433854816006439</v>
      </c>
      <c r="P24" s="393">
        <f t="shared" si="22"/>
        <v>4.8600000000000003</v>
      </c>
      <c r="Q24" s="393">
        <f t="shared" si="23"/>
        <v>5.94</v>
      </c>
      <c r="R24" s="393">
        <f t="shared" si="24"/>
        <v>7.7040000000000006</v>
      </c>
      <c r="S24" s="393">
        <f t="shared" si="25"/>
        <v>7.3485000000000005</v>
      </c>
      <c r="T24" s="393">
        <f t="shared" si="26"/>
        <v>6.282</v>
      </c>
      <c r="U24" s="413">
        <f t="shared" si="27"/>
        <v>6.282</v>
      </c>
    </row>
    <row r="25" spans="1:21">
      <c r="A25">
        <v>258</v>
      </c>
      <c r="B25">
        <v>19</v>
      </c>
      <c r="C25" t="s">
        <v>514</v>
      </c>
      <c r="D25" s="391">
        <f t="shared" si="17"/>
        <v>11.016</v>
      </c>
      <c r="E25" s="390">
        <v>6.1197852269207784</v>
      </c>
      <c r="F25" s="400">
        <v>12.06</v>
      </c>
      <c r="G25" s="400">
        <v>7.1280000000000001</v>
      </c>
      <c r="H25" s="400">
        <v>11.016</v>
      </c>
      <c r="I25" s="400">
        <v>11.016</v>
      </c>
      <c r="J25" s="400">
        <v>11.016</v>
      </c>
      <c r="K25" s="400">
        <v>11.016</v>
      </c>
      <c r="L25" s="400">
        <f t="shared" si="18"/>
        <v>10.305</v>
      </c>
      <c r="M25" s="413">
        <f t="shared" si="19"/>
        <v>10.305</v>
      </c>
      <c r="N25" s="413">
        <f t="shared" si="20"/>
        <v>10.305</v>
      </c>
      <c r="O25" s="393">
        <f t="shared" si="21"/>
        <v>9.089892613460389</v>
      </c>
      <c r="P25" s="393">
        <f t="shared" si="22"/>
        <v>9.5940000000000012</v>
      </c>
      <c r="Q25" s="393">
        <f t="shared" si="23"/>
        <v>9.0719999999999992</v>
      </c>
      <c r="R25" s="393">
        <f t="shared" si="24"/>
        <v>11.016</v>
      </c>
      <c r="S25" s="393">
        <f t="shared" si="25"/>
        <v>10.83825</v>
      </c>
      <c r="T25" s="393">
        <f t="shared" si="26"/>
        <v>10.305</v>
      </c>
      <c r="U25" s="413">
        <f t="shared" si="27"/>
        <v>10.305</v>
      </c>
    </row>
    <row r="26" spans="1:21">
      <c r="A26">
        <v>119</v>
      </c>
      <c r="B26">
        <v>20</v>
      </c>
      <c r="C26" t="s">
        <v>109</v>
      </c>
      <c r="D26" s="391">
        <f t="shared" si="17"/>
        <v>159.33599999999998</v>
      </c>
      <c r="E26" s="390">
        <v>31.311716940878682</v>
      </c>
      <c r="F26" s="400">
        <v>70.775999999999996</v>
      </c>
      <c r="G26" s="400">
        <v>60.804000000000002</v>
      </c>
      <c r="H26" s="400">
        <v>159.33599999999998</v>
      </c>
      <c r="I26" s="400">
        <v>159.33599999999998</v>
      </c>
      <c r="J26" s="400">
        <v>159.33599999999998</v>
      </c>
      <c r="K26" s="400">
        <v>159.33599999999998</v>
      </c>
      <c r="L26" s="400">
        <f t="shared" si="18"/>
        <v>112.56299999999999</v>
      </c>
      <c r="M26" s="413">
        <f t="shared" si="19"/>
        <v>112.56299999999999</v>
      </c>
      <c r="N26" s="413">
        <f t="shared" si="20"/>
        <v>112.56299999999999</v>
      </c>
      <c r="O26" s="393">
        <f t="shared" si="21"/>
        <v>51.043858470439339</v>
      </c>
      <c r="P26" s="393">
        <f t="shared" si="22"/>
        <v>65.789999999999992</v>
      </c>
      <c r="Q26" s="393">
        <f t="shared" si="23"/>
        <v>110.07</v>
      </c>
      <c r="R26" s="393">
        <f t="shared" si="24"/>
        <v>159.33599999999998</v>
      </c>
      <c r="S26" s="393">
        <f t="shared" si="25"/>
        <v>147.64274999999998</v>
      </c>
      <c r="T26" s="393">
        <f t="shared" si="26"/>
        <v>112.56299999999999</v>
      </c>
      <c r="U26" s="413">
        <f t="shared" si="27"/>
        <v>112.56299999999999</v>
      </c>
    </row>
    <row r="27" spans="1:21">
      <c r="A27">
        <v>297</v>
      </c>
      <c r="B27">
        <v>21</v>
      </c>
      <c r="C27" t="s">
        <v>110</v>
      </c>
      <c r="D27" s="391">
        <f t="shared" si="17"/>
        <v>70.92</v>
      </c>
      <c r="E27" s="390">
        <v>97.3129273955104</v>
      </c>
      <c r="F27" s="400">
        <v>94.14</v>
      </c>
      <c r="G27" s="400">
        <v>115.884</v>
      </c>
      <c r="H27" s="400">
        <v>70.92</v>
      </c>
      <c r="I27" s="400">
        <v>70.92</v>
      </c>
      <c r="J27" s="400">
        <v>70.92</v>
      </c>
      <c r="K27" s="400">
        <v>70.92</v>
      </c>
      <c r="L27" s="400">
        <f t="shared" si="18"/>
        <v>87.966000000000008</v>
      </c>
      <c r="M27" s="413">
        <f t="shared" si="19"/>
        <v>87.966000000000008</v>
      </c>
      <c r="N27" s="413">
        <f t="shared" si="20"/>
        <v>87.966000000000008</v>
      </c>
      <c r="O27" s="393">
        <f t="shared" si="21"/>
        <v>95.726463697755207</v>
      </c>
      <c r="P27" s="393">
        <f t="shared" si="22"/>
        <v>105.012</v>
      </c>
      <c r="Q27" s="393">
        <f t="shared" si="23"/>
        <v>93.402000000000001</v>
      </c>
      <c r="R27" s="393">
        <f t="shared" si="24"/>
        <v>70.92</v>
      </c>
      <c r="S27" s="393">
        <f t="shared" si="25"/>
        <v>75.1815</v>
      </c>
      <c r="T27" s="393">
        <f t="shared" si="26"/>
        <v>87.966000000000008</v>
      </c>
      <c r="U27" s="413">
        <f t="shared" si="27"/>
        <v>87.966000000000008</v>
      </c>
    </row>
    <row r="28" spans="1:21">
      <c r="A28">
        <v>231</v>
      </c>
      <c r="B28">
        <v>22</v>
      </c>
      <c r="C28" t="s">
        <v>111</v>
      </c>
      <c r="D28" s="391">
        <f t="shared" si="17"/>
        <v>3.8880000000000003</v>
      </c>
      <c r="E28" s="390">
        <v>1.3964826240702353</v>
      </c>
      <c r="F28" s="400">
        <v>2.556</v>
      </c>
      <c r="G28" s="400">
        <v>7.38</v>
      </c>
      <c r="H28" s="400">
        <v>3.8880000000000003</v>
      </c>
      <c r="I28" s="400">
        <v>3.8880000000000003</v>
      </c>
      <c r="J28" s="400">
        <v>3.8880000000000003</v>
      </c>
      <c r="K28" s="400">
        <v>3.8880000000000003</v>
      </c>
      <c r="L28" s="400">
        <f t="shared" si="18"/>
        <v>4.4279999999999999</v>
      </c>
      <c r="M28" s="413">
        <f t="shared" si="19"/>
        <v>4.4279999999999999</v>
      </c>
      <c r="N28" s="413">
        <f t="shared" si="20"/>
        <v>4.4279999999999999</v>
      </c>
      <c r="O28" s="393">
        <f t="shared" si="21"/>
        <v>1.9762413120351177</v>
      </c>
      <c r="P28" s="393">
        <f t="shared" si="22"/>
        <v>4.968</v>
      </c>
      <c r="Q28" s="393">
        <f t="shared" si="23"/>
        <v>5.6340000000000003</v>
      </c>
      <c r="R28" s="393">
        <f t="shared" si="24"/>
        <v>3.8880000000000003</v>
      </c>
      <c r="S28" s="393">
        <f t="shared" si="25"/>
        <v>4.0230000000000006</v>
      </c>
      <c r="T28" s="393">
        <f t="shared" si="26"/>
        <v>4.4279999999999999</v>
      </c>
      <c r="U28" s="413">
        <f t="shared" si="27"/>
        <v>4.4279999999999999</v>
      </c>
    </row>
    <row r="29" spans="1:21">
      <c r="A29">
        <v>321</v>
      </c>
      <c r="B29">
        <v>23</v>
      </c>
      <c r="C29" t="s">
        <v>112</v>
      </c>
      <c r="D29" s="391">
        <f t="shared" si="17"/>
        <v>0</v>
      </c>
      <c r="E29" s="390">
        <v>0</v>
      </c>
      <c r="F29" s="400">
        <v>0</v>
      </c>
      <c r="G29" s="400">
        <v>0</v>
      </c>
      <c r="H29" s="400">
        <v>0</v>
      </c>
      <c r="I29" s="400">
        <v>0</v>
      </c>
      <c r="J29" s="400">
        <v>0</v>
      </c>
      <c r="K29" s="400">
        <v>0</v>
      </c>
      <c r="L29" s="400">
        <f t="shared" si="18"/>
        <v>0</v>
      </c>
      <c r="M29" s="413">
        <f t="shared" si="19"/>
        <v>0</v>
      </c>
      <c r="N29" s="413">
        <f t="shared" si="20"/>
        <v>0</v>
      </c>
      <c r="O29" s="393">
        <f t="shared" si="21"/>
        <v>0</v>
      </c>
      <c r="P29" s="393">
        <f t="shared" si="22"/>
        <v>0</v>
      </c>
      <c r="Q29" s="393">
        <f t="shared" si="23"/>
        <v>0</v>
      </c>
      <c r="R29" s="393">
        <f t="shared" si="24"/>
        <v>0</v>
      </c>
      <c r="S29" s="393">
        <f t="shared" si="25"/>
        <v>0</v>
      </c>
      <c r="T29" s="393">
        <f t="shared" si="26"/>
        <v>0</v>
      </c>
      <c r="U29" s="413">
        <f t="shared" si="27"/>
        <v>0</v>
      </c>
    </row>
    <row r="30" spans="1:21">
      <c r="A30">
        <v>888</v>
      </c>
      <c r="B30">
        <v>24</v>
      </c>
      <c r="C30" t="s">
        <v>113</v>
      </c>
      <c r="D30" s="391">
        <f t="shared" si="17"/>
        <v>3.3120000000000003</v>
      </c>
      <c r="E30" s="390">
        <v>42.475876350787658</v>
      </c>
      <c r="F30" s="400">
        <v>15.336</v>
      </c>
      <c r="G30" s="400">
        <v>0</v>
      </c>
      <c r="H30" s="400">
        <v>3.3120000000000003</v>
      </c>
      <c r="I30" s="400">
        <v>3.3120000000000003</v>
      </c>
      <c r="J30" s="400">
        <v>3.3120000000000003</v>
      </c>
      <c r="K30" s="400">
        <v>3.3120000000000003</v>
      </c>
      <c r="L30" s="400">
        <f t="shared" si="18"/>
        <v>5.49</v>
      </c>
      <c r="M30" s="413">
        <f t="shared" si="19"/>
        <v>5.49</v>
      </c>
      <c r="N30" s="413">
        <f t="shared" si="20"/>
        <v>5.49</v>
      </c>
      <c r="O30" s="393">
        <f t="shared" si="21"/>
        <v>28.905938175393828</v>
      </c>
      <c r="P30" s="393">
        <f t="shared" si="22"/>
        <v>7.6680000000000001</v>
      </c>
      <c r="Q30" s="393">
        <f t="shared" si="23"/>
        <v>1.6560000000000001</v>
      </c>
      <c r="R30" s="393">
        <f t="shared" si="24"/>
        <v>3.3120000000000003</v>
      </c>
      <c r="S30" s="393">
        <f t="shared" si="25"/>
        <v>3.8565</v>
      </c>
      <c r="T30" s="393">
        <f t="shared" si="26"/>
        <v>5.49</v>
      </c>
      <c r="U30" s="413">
        <f t="shared" si="27"/>
        <v>5.49</v>
      </c>
    </row>
    <row r="31" spans="1:21">
      <c r="A31">
        <v>424</v>
      </c>
      <c r="B31">
        <v>25</v>
      </c>
      <c r="C31" t="s">
        <v>114</v>
      </c>
      <c r="D31" s="391">
        <f t="shared" si="17"/>
        <v>0</v>
      </c>
      <c r="E31" s="390">
        <v>4.1817686347500972E-2</v>
      </c>
      <c r="F31" s="400">
        <v>0</v>
      </c>
      <c r="G31" s="400">
        <v>0</v>
      </c>
      <c r="H31" s="400">
        <v>0</v>
      </c>
      <c r="I31" s="400">
        <v>0</v>
      </c>
      <c r="J31" s="400">
        <v>0</v>
      </c>
      <c r="K31" s="400">
        <v>0</v>
      </c>
      <c r="L31" s="400">
        <f t="shared" si="18"/>
        <v>0</v>
      </c>
      <c r="M31" s="413">
        <f t="shared" si="19"/>
        <v>0</v>
      </c>
      <c r="N31" s="413">
        <f t="shared" si="20"/>
        <v>0</v>
      </c>
      <c r="O31" s="393">
        <f t="shared" si="21"/>
        <v>2.0908843173750486E-2</v>
      </c>
      <c r="P31" s="393">
        <f t="shared" si="22"/>
        <v>0</v>
      </c>
      <c r="Q31" s="393">
        <f t="shared" si="23"/>
        <v>0</v>
      </c>
      <c r="R31" s="393">
        <f t="shared" si="24"/>
        <v>0</v>
      </c>
      <c r="S31" s="393">
        <f t="shared" si="25"/>
        <v>0</v>
      </c>
      <c r="T31" s="393">
        <f t="shared" si="26"/>
        <v>0</v>
      </c>
      <c r="U31" s="413">
        <f t="shared" si="27"/>
        <v>0</v>
      </c>
    </row>
    <row r="32" spans="1:21">
      <c r="A32">
        <v>72</v>
      </c>
      <c r="B32">
        <v>26</v>
      </c>
      <c r="C32" t="s">
        <v>115</v>
      </c>
      <c r="D32" s="391">
        <f t="shared" si="17"/>
        <v>90.86399999999999</v>
      </c>
      <c r="E32" s="390">
        <v>203.22772631741711</v>
      </c>
      <c r="F32" s="400">
        <v>131.292</v>
      </c>
      <c r="G32" s="400">
        <v>65.52</v>
      </c>
      <c r="H32" s="400">
        <v>90.86399999999999</v>
      </c>
      <c r="I32" s="400">
        <v>90.86399999999999</v>
      </c>
      <c r="J32" s="400">
        <v>90.86399999999999</v>
      </c>
      <c r="K32" s="400">
        <v>90.86399999999999</v>
      </c>
      <c r="L32" s="400">
        <f t="shared" si="18"/>
        <v>94.634999999999991</v>
      </c>
      <c r="M32" s="413">
        <f t="shared" si="19"/>
        <v>94.634999999999991</v>
      </c>
      <c r="N32" s="413">
        <f t="shared" si="20"/>
        <v>94.634999999999991</v>
      </c>
      <c r="O32" s="393">
        <f t="shared" si="21"/>
        <v>167.25986315870855</v>
      </c>
      <c r="P32" s="393">
        <f t="shared" si="22"/>
        <v>98.406000000000006</v>
      </c>
      <c r="Q32" s="393">
        <f t="shared" si="23"/>
        <v>78.191999999999993</v>
      </c>
      <c r="R32" s="393">
        <f t="shared" si="24"/>
        <v>90.86399999999999</v>
      </c>
      <c r="S32" s="393">
        <f t="shared" si="25"/>
        <v>91.806749999999994</v>
      </c>
      <c r="T32" s="393">
        <f t="shared" si="26"/>
        <v>94.634999999999991</v>
      </c>
      <c r="U32" s="413">
        <f t="shared" si="27"/>
        <v>94.634999999999991</v>
      </c>
    </row>
    <row r="33" spans="1:21">
      <c r="A33">
        <v>173</v>
      </c>
      <c r="B33">
        <v>27</v>
      </c>
      <c r="C33" t="s">
        <v>515</v>
      </c>
      <c r="D33" s="391">
        <f t="shared" si="17"/>
        <v>11.16</v>
      </c>
      <c r="E33" s="390">
        <v>63.812804884659251</v>
      </c>
      <c r="F33" s="400">
        <v>40.463999999999999</v>
      </c>
      <c r="G33" s="400">
        <v>3.528</v>
      </c>
      <c r="H33" s="400">
        <v>11.16</v>
      </c>
      <c r="I33" s="400">
        <v>11.16</v>
      </c>
      <c r="J33" s="400">
        <v>11.16</v>
      </c>
      <c r="K33" s="400">
        <v>11.16</v>
      </c>
      <c r="L33" s="400">
        <f t="shared" si="18"/>
        <v>16.577999999999999</v>
      </c>
      <c r="M33" s="413">
        <f t="shared" si="19"/>
        <v>16.577999999999999</v>
      </c>
      <c r="N33" s="413">
        <f t="shared" si="20"/>
        <v>16.577999999999999</v>
      </c>
      <c r="O33" s="393">
        <f t="shared" si="21"/>
        <v>52.138402442329621</v>
      </c>
      <c r="P33" s="393">
        <f t="shared" si="22"/>
        <v>21.995999999999999</v>
      </c>
      <c r="Q33" s="393">
        <f t="shared" si="23"/>
        <v>7.3440000000000003</v>
      </c>
      <c r="R33" s="393">
        <f t="shared" si="24"/>
        <v>11.16</v>
      </c>
      <c r="S33" s="393">
        <f t="shared" si="25"/>
        <v>12.514500000000002</v>
      </c>
      <c r="T33" s="393">
        <f t="shared" si="26"/>
        <v>16.577999999999999</v>
      </c>
      <c r="U33" s="413">
        <f t="shared" si="27"/>
        <v>16.577999999999999</v>
      </c>
    </row>
    <row r="34" spans="1:21">
      <c r="A34">
        <v>23</v>
      </c>
      <c r="B34">
        <v>28</v>
      </c>
      <c r="C34" t="s">
        <v>116</v>
      </c>
      <c r="D34" s="391">
        <f t="shared" si="17"/>
        <v>4.6080000000000005</v>
      </c>
      <c r="E34" s="390">
        <v>8.2764508481448935</v>
      </c>
      <c r="F34" s="400">
        <v>3.3120000000000003</v>
      </c>
      <c r="G34" s="400">
        <v>2.7</v>
      </c>
      <c r="H34" s="400">
        <v>4.6080000000000005</v>
      </c>
      <c r="I34" s="400">
        <v>4.6080000000000005</v>
      </c>
      <c r="J34" s="400">
        <v>4.6080000000000005</v>
      </c>
      <c r="K34" s="400">
        <v>4.6080000000000005</v>
      </c>
      <c r="L34" s="400">
        <f t="shared" si="18"/>
        <v>3.8070000000000004</v>
      </c>
      <c r="M34" s="413">
        <f t="shared" si="19"/>
        <v>3.8070000000000004</v>
      </c>
      <c r="N34" s="413">
        <f t="shared" si="20"/>
        <v>3.8070000000000004</v>
      </c>
      <c r="O34" s="393">
        <f t="shared" si="21"/>
        <v>5.7942254240724473</v>
      </c>
      <c r="P34" s="393">
        <f t="shared" si="22"/>
        <v>3.0060000000000002</v>
      </c>
      <c r="Q34" s="393">
        <f t="shared" si="23"/>
        <v>3.6540000000000004</v>
      </c>
      <c r="R34" s="393">
        <f t="shared" si="24"/>
        <v>4.6080000000000005</v>
      </c>
      <c r="S34" s="393">
        <f t="shared" si="25"/>
        <v>4.4077500000000001</v>
      </c>
      <c r="T34" s="393">
        <f t="shared" si="26"/>
        <v>3.8070000000000004</v>
      </c>
      <c r="U34" s="413">
        <f t="shared" si="27"/>
        <v>3.8070000000000004</v>
      </c>
    </row>
    <row r="35" spans="1:21">
      <c r="A35">
        <v>123</v>
      </c>
      <c r="B35">
        <v>29</v>
      </c>
      <c r="C35" t="s">
        <v>117</v>
      </c>
      <c r="D35" s="391">
        <f t="shared" si="17"/>
        <v>103.788</v>
      </c>
      <c r="E35" s="390">
        <v>150.1696173240905</v>
      </c>
      <c r="F35" s="400">
        <v>146.01600000000002</v>
      </c>
      <c r="G35" s="400">
        <v>118.65600000000001</v>
      </c>
      <c r="H35" s="400">
        <v>103.788</v>
      </c>
      <c r="I35" s="400">
        <v>103.788</v>
      </c>
      <c r="J35" s="400">
        <v>103.788</v>
      </c>
      <c r="K35" s="400">
        <v>103.788</v>
      </c>
      <c r="L35" s="400">
        <f t="shared" si="18"/>
        <v>118.06200000000001</v>
      </c>
      <c r="M35" s="413">
        <f t="shared" si="19"/>
        <v>118.06200000000001</v>
      </c>
      <c r="N35" s="413">
        <f t="shared" si="20"/>
        <v>118.06200000000001</v>
      </c>
      <c r="O35" s="393">
        <f t="shared" si="21"/>
        <v>148.09280866204526</v>
      </c>
      <c r="P35" s="393">
        <f t="shared" si="22"/>
        <v>132.33600000000001</v>
      </c>
      <c r="Q35" s="393">
        <f t="shared" si="23"/>
        <v>111.22200000000001</v>
      </c>
      <c r="R35" s="393">
        <f t="shared" si="24"/>
        <v>103.788</v>
      </c>
      <c r="S35" s="393">
        <f t="shared" si="25"/>
        <v>107.3565</v>
      </c>
      <c r="T35" s="393">
        <f t="shared" si="26"/>
        <v>118.06200000000001</v>
      </c>
      <c r="U35" s="413">
        <f t="shared" si="27"/>
        <v>118.06200000000001</v>
      </c>
    </row>
    <row r="36" spans="1:21">
      <c r="A36">
        <v>161</v>
      </c>
      <c r="B36">
        <v>30</v>
      </c>
      <c r="C36" t="s">
        <v>118</v>
      </c>
      <c r="D36" s="391">
        <f t="shared" si="17"/>
        <v>30.888000000000002</v>
      </c>
      <c r="E36" s="390">
        <v>112.72931470934449</v>
      </c>
      <c r="F36" s="400">
        <v>20.196000000000002</v>
      </c>
      <c r="G36" s="400">
        <v>31.680000000000003</v>
      </c>
      <c r="H36" s="400">
        <v>30.888000000000002</v>
      </c>
      <c r="I36" s="400">
        <v>30.888000000000002</v>
      </c>
      <c r="J36" s="400">
        <v>30.888000000000002</v>
      </c>
      <c r="K36" s="400">
        <v>30.888000000000002</v>
      </c>
      <c r="L36" s="400">
        <f t="shared" si="18"/>
        <v>28.413000000000004</v>
      </c>
      <c r="M36" s="413">
        <f t="shared" si="19"/>
        <v>28.413000000000004</v>
      </c>
      <c r="N36" s="413">
        <f t="shared" si="20"/>
        <v>28.413000000000004</v>
      </c>
      <c r="O36" s="393">
        <f t="shared" si="21"/>
        <v>66.462657354672245</v>
      </c>
      <c r="P36" s="393">
        <f t="shared" si="22"/>
        <v>25.938000000000002</v>
      </c>
      <c r="Q36" s="393">
        <f t="shared" si="23"/>
        <v>31.284000000000002</v>
      </c>
      <c r="R36" s="393">
        <f t="shared" si="24"/>
        <v>30.888000000000002</v>
      </c>
      <c r="S36" s="393">
        <f t="shared" si="25"/>
        <v>30.26925</v>
      </c>
      <c r="T36" s="393">
        <f t="shared" si="26"/>
        <v>28.413000000000004</v>
      </c>
      <c r="U36" s="413">
        <f t="shared" si="27"/>
        <v>28.413000000000004</v>
      </c>
    </row>
    <row r="37" spans="1:21">
      <c r="A37">
        <v>98</v>
      </c>
      <c r="B37">
        <v>31</v>
      </c>
      <c r="C37" t="s">
        <v>119</v>
      </c>
      <c r="D37" s="391">
        <f t="shared" si="17"/>
        <v>96.48</v>
      </c>
      <c r="E37" s="390">
        <v>150.48503278566963</v>
      </c>
      <c r="F37" s="400">
        <v>140.86800000000002</v>
      </c>
      <c r="G37" s="400">
        <v>89.748000000000005</v>
      </c>
      <c r="H37" s="400">
        <v>96.48</v>
      </c>
      <c r="I37" s="400">
        <v>96.48</v>
      </c>
      <c r="J37" s="400">
        <v>96.48</v>
      </c>
      <c r="K37" s="400">
        <v>96.48</v>
      </c>
      <c r="L37" s="400">
        <f t="shared" si="18"/>
        <v>105.89400000000002</v>
      </c>
      <c r="M37" s="413">
        <f t="shared" si="19"/>
        <v>105.89400000000002</v>
      </c>
      <c r="N37" s="413">
        <f t="shared" si="20"/>
        <v>105.89400000000002</v>
      </c>
      <c r="O37" s="393">
        <f t="shared" si="21"/>
        <v>145.67651639283483</v>
      </c>
      <c r="P37" s="393">
        <f t="shared" si="22"/>
        <v>115.30800000000002</v>
      </c>
      <c r="Q37" s="393">
        <f t="shared" si="23"/>
        <v>93.114000000000004</v>
      </c>
      <c r="R37" s="393">
        <f t="shared" si="24"/>
        <v>96.48</v>
      </c>
      <c r="S37" s="393">
        <f t="shared" si="25"/>
        <v>98.833500000000001</v>
      </c>
      <c r="T37" s="393">
        <f t="shared" si="26"/>
        <v>105.89400000000002</v>
      </c>
      <c r="U37" s="413">
        <f t="shared" si="27"/>
        <v>105.89400000000002</v>
      </c>
    </row>
    <row r="38" spans="1:21">
      <c r="A38">
        <v>142</v>
      </c>
      <c r="B38">
        <v>32</v>
      </c>
      <c r="C38" t="s">
        <v>120</v>
      </c>
      <c r="D38" s="391">
        <f t="shared" si="17"/>
        <v>34.235999999999997</v>
      </c>
      <c r="E38" s="390">
        <v>118.79100904687928</v>
      </c>
      <c r="F38" s="400">
        <v>71.352000000000004</v>
      </c>
      <c r="G38" s="400">
        <v>38.700000000000003</v>
      </c>
      <c r="H38" s="400">
        <v>34.235999999999997</v>
      </c>
      <c r="I38" s="400">
        <v>34.235999999999997</v>
      </c>
      <c r="J38" s="400">
        <v>34.235999999999997</v>
      </c>
      <c r="K38" s="400">
        <v>34.235999999999997</v>
      </c>
      <c r="L38" s="400">
        <f t="shared" si="18"/>
        <v>44.631</v>
      </c>
      <c r="M38" s="413">
        <f t="shared" si="19"/>
        <v>44.631</v>
      </c>
      <c r="N38" s="413">
        <f t="shared" si="20"/>
        <v>44.631</v>
      </c>
      <c r="O38" s="393">
        <f t="shared" si="21"/>
        <v>95.071504523439643</v>
      </c>
      <c r="P38" s="393">
        <f t="shared" si="22"/>
        <v>55.026000000000003</v>
      </c>
      <c r="Q38" s="393">
        <f t="shared" si="23"/>
        <v>36.468000000000004</v>
      </c>
      <c r="R38" s="393">
        <f t="shared" si="24"/>
        <v>34.235999999999997</v>
      </c>
      <c r="S38" s="393">
        <f t="shared" si="25"/>
        <v>36.83475</v>
      </c>
      <c r="T38" s="393">
        <f t="shared" si="26"/>
        <v>44.631</v>
      </c>
      <c r="U38" s="413">
        <f t="shared" si="27"/>
        <v>44.631</v>
      </c>
    </row>
    <row r="39" spans="1:21">
      <c r="A39">
        <v>99</v>
      </c>
      <c r="B39">
        <v>33</v>
      </c>
      <c r="C39" t="s">
        <v>121</v>
      </c>
      <c r="D39" s="391">
        <f t="shared" si="17"/>
        <v>25.236000000000001</v>
      </c>
      <c r="E39" s="390">
        <v>120.25586006830027</v>
      </c>
      <c r="F39" s="400">
        <v>26.315999999999999</v>
      </c>
      <c r="G39" s="400">
        <v>27.288</v>
      </c>
      <c r="H39" s="400">
        <v>25.236000000000001</v>
      </c>
      <c r="I39" s="400">
        <v>25.236000000000001</v>
      </c>
      <c r="J39" s="400">
        <v>25.236000000000001</v>
      </c>
      <c r="K39" s="400">
        <v>25.236000000000001</v>
      </c>
      <c r="L39" s="400">
        <f t="shared" si="18"/>
        <v>26.019000000000002</v>
      </c>
      <c r="M39" s="413">
        <f t="shared" si="19"/>
        <v>26.019000000000002</v>
      </c>
      <c r="N39" s="413">
        <f t="shared" si="20"/>
        <v>26.019000000000002</v>
      </c>
      <c r="O39" s="393">
        <f t="shared" si="21"/>
        <v>73.285930034150127</v>
      </c>
      <c r="P39" s="393">
        <f t="shared" si="22"/>
        <v>26.802</v>
      </c>
      <c r="Q39" s="393">
        <f t="shared" si="23"/>
        <v>26.262</v>
      </c>
      <c r="R39" s="393">
        <f t="shared" si="24"/>
        <v>25.236000000000001</v>
      </c>
      <c r="S39" s="393">
        <f t="shared" si="25"/>
        <v>25.431750000000001</v>
      </c>
      <c r="T39" s="393">
        <f t="shared" si="26"/>
        <v>26.019000000000002</v>
      </c>
      <c r="U39" s="413">
        <f t="shared" si="27"/>
        <v>26.019000000000002</v>
      </c>
    </row>
    <row r="40" spans="1:21">
      <c r="A40">
        <v>273</v>
      </c>
      <c r="B40">
        <v>34</v>
      </c>
      <c r="C40" t="s">
        <v>483</v>
      </c>
      <c r="D40" s="391">
        <f t="shared" si="17"/>
        <v>14.508000000000001</v>
      </c>
      <c r="E40" s="390">
        <v>0.8203138880663311</v>
      </c>
      <c r="F40" s="400">
        <v>18.18</v>
      </c>
      <c r="G40" s="400">
        <v>7.3079999999999998</v>
      </c>
      <c r="H40" s="400">
        <v>14.508000000000001</v>
      </c>
      <c r="I40" s="400">
        <v>14.508000000000001</v>
      </c>
      <c r="J40" s="400">
        <v>14.508000000000001</v>
      </c>
      <c r="K40" s="400">
        <v>14.508000000000001</v>
      </c>
      <c r="L40" s="400">
        <f t="shared" si="18"/>
        <v>13.626000000000001</v>
      </c>
      <c r="M40" s="413">
        <f t="shared" si="19"/>
        <v>13.626000000000001</v>
      </c>
      <c r="N40" s="413">
        <f t="shared" si="20"/>
        <v>13.626000000000001</v>
      </c>
      <c r="O40" s="393">
        <f t="shared" si="21"/>
        <v>9.500156944033165</v>
      </c>
      <c r="P40" s="393">
        <f t="shared" si="22"/>
        <v>12.744</v>
      </c>
      <c r="Q40" s="393">
        <f t="shared" si="23"/>
        <v>10.908000000000001</v>
      </c>
      <c r="R40" s="393">
        <f t="shared" si="24"/>
        <v>14.508000000000001</v>
      </c>
      <c r="S40" s="393">
        <f t="shared" si="25"/>
        <v>14.287500000000001</v>
      </c>
      <c r="T40" s="393">
        <f t="shared" si="26"/>
        <v>13.626000000000001</v>
      </c>
      <c r="U40" s="413">
        <f t="shared" si="27"/>
        <v>13.626000000000001</v>
      </c>
    </row>
    <row r="41" spans="1:21">
      <c r="A41">
        <v>140</v>
      </c>
      <c r="B41">
        <v>35</v>
      </c>
      <c r="C41" t="s">
        <v>122</v>
      </c>
      <c r="D41" s="391">
        <f t="shared" si="17"/>
        <v>22.5</v>
      </c>
      <c r="E41" s="390">
        <v>30.454844101482006</v>
      </c>
      <c r="F41" s="400">
        <v>27.648</v>
      </c>
      <c r="G41" s="400">
        <v>10.872</v>
      </c>
      <c r="H41" s="400">
        <v>22.5</v>
      </c>
      <c r="I41" s="400">
        <v>22.5</v>
      </c>
      <c r="J41" s="400">
        <v>22.5</v>
      </c>
      <c r="K41" s="400">
        <v>22.5</v>
      </c>
      <c r="L41" s="400">
        <f t="shared" si="18"/>
        <v>20.88</v>
      </c>
      <c r="M41" s="413">
        <f t="shared" si="19"/>
        <v>20.88</v>
      </c>
      <c r="N41" s="413">
        <f t="shared" si="20"/>
        <v>20.88</v>
      </c>
      <c r="O41" s="393">
        <f t="shared" si="21"/>
        <v>29.051422050741003</v>
      </c>
      <c r="P41" s="393">
        <f t="shared" si="22"/>
        <v>19.259999999999998</v>
      </c>
      <c r="Q41" s="393">
        <f t="shared" si="23"/>
        <v>16.686</v>
      </c>
      <c r="R41" s="393">
        <f t="shared" si="24"/>
        <v>22.5</v>
      </c>
      <c r="S41" s="393">
        <f t="shared" si="25"/>
        <v>22.094999999999999</v>
      </c>
      <c r="T41" s="393">
        <f t="shared" si="26"/>
        <v>20.88</v>
      </c>
      <c r="U41" s="413">
        <f t="shared" si="27"/>
        <v>20.88</v>
      </c>
    </row>
    <row r="42" spans="1:21">
      <c r="A42">
        <v>277</v>
      </c>
      <c r="B42">
        <v>36</v>
      </c>
      <c r="C42" t="s">
        <v>252</v>
      </c>
      <c r="D42" s="391">
        <f t="shared" si="17"/>
        <v>8.2080000000000002</v>
      </c>
      <c r="E42" s="390">
        <v>4.764905054573255</v>
      </c>
      <c r="F42" s="400">
        <v>8.532</v>
      </c>
      <c r="G42" s="400">
        <v>11.484</v>
      </c>
      <c r="H42" s="400">
        <v>8.2080000000000002</v>
      </c>
      <c r="I42" s="400">
        <v>8.2080000000000002</v>
      </c>
      <c r="J42" s="400">
        <v>8.2080000000000002</v>
      </c>
      <c r="K42" s="400">
        <v>8.2080000000000002</v>
      </c>
      <c r="L42" s="400">
        <f t="shared" si="18"/>
        <v>9.1079999999999988</v>
      </c>
      <c r="M42" s="413">
        <f t="shared" si="19"/>
        <v>9.1079999999999988</v>
      </c>
      <c r="N42" s="413">
        <f t="shared" si="20"/>
        <v>9.1079999999999988</v>
      </c>
      <c r="O42" s="393">
        <f t="shared" si="21"/>
        <v>6.6484525272866275</v>
      </c>
      <c r="P42" s="393">
        <f t="shared" si="22"/>
        <v>10.007999999999999</v>
      </c>
      <c r="Q42" s="393">
        <f t="shared" si="23"/>
        <v>9.8460000000000001</v>
      </c>
      <c r="R42" s="393">
        <f t="shared" si="24"/>
        <v>8.2080000000000002</v>
      </c>
      <c r="S42" s="393">
        <f t="shared" si="25"/>
        <v>8.4329999999999998</v>
      </c>
      <c r="T42" s="393">
        <f t="shared" si="26"/>
        <v>9.1079999999999988</v>
      </c>
      <c r="U42" s="413">
        <f t="shared" si="27"/>
        <v>9.1079999999999988</v>
      </c>
    </row>
    <row r="43" spans="1:21">
      <c r="A43">
        <v>408</v>
      </c>
      <c r="B43">
        <v>37</v>
      </c>
      <c r="C43" t="s">
        <v>123</v>
      </c>
      <c r="D43" s="391">
        <f t="shared" si="17"/>
        <v>4.32</v>
      </c>
      <c r="E43" s="390">
        <v>0</v>
      </c>
      <c r="F43" s="400">
        <v>0</v>
      </c>
      <c r="G43" s="400">
        <v>2.16</v>
      </c>
      <c r="H43" s="400">
        <v>4.32</v>
      </c>
      <c r="I43" s="400">
        <v>4.32</v>
      </c>
      <c r="J43" s="400">
        <v>4.32</v>
      </c>
      <c r="K43" s="400">
        <v>4.32</v>
      </c>
      <c r="L43" s="400">
        <f t="shared" si="18"/>
        <v>2.7</v>
      </c>
      <c r="M43" s="413">
        <f t="shared" si="19"/>
        <v>2.7</v>
      </c>
      <c r="N43" s="413">
        <f t="shared" si="20"/>
        <v>2.7</v>
      </c>
      <c r="O43" s="393">
        <f t="shared" si="21"/>
        <v>0</v>
      </c>
      <c r="P43" s="393">
        <f t="shared" si="22"/>
        <v>1.08</v>
      </c>
      <c r="Q43" s="393">
        <f t="shared" si="23"/>
        <v>3.24</v>
      </c>
      <c r="R43" s="393">
        <f t="shared" si="24"/>
        <v>4.32</v>
      </c>
      <c r="S43" s="393">
        <f t="shared" si="25"/>
        <v>3.915</v>
      </c>
      <c r="T43" s="393">
        <f t="shared" si="26"/>
        <v>2.7</v>
      </c>
      <c r="U43" s="413">
        <f t="shared" si="27"/>
        <v>2.7</v>
      </c>
    </row>
    <row r="44" spans="1:21">
      <c r="A44">
        <v>125</v>
      </c>
      <c r="B44">
        <v>38</v>
      </c>
      <c r="C44" t="s">
        <v>124</v>
      </c>
      <c r="D44" s="391">
        <f t="shared" si="17"/>
        <v>159.804</v>
      </c>
      <c r="E44" s="390">
        <v>175.76575255102043</v>
      </c>
      <c r="F44" s="400">
        <v>165.27599999999998</v>
      </c>
      <c r="G44" s="400">
        <v>179.74799999999999</v>
      </c>
      <c r="H44" s="400">
        <v>159.804</v>
      </c>
      <c r="I44" s="400">
        <v>159.804</v>
      </c>
      <c r="J44" s="400">
        <v>159.804</v>
      </c>
      <c r="K44" s="400">
        <v>159.804</v>
      </c>
      <c r="L44" s="400">
        <f t="shared" si="18"/>
        <v>166.15799999999999</v>
      </c>
      <c r="M44" s="413">
        <f t="shared" si="19"/>
        <v>166.15799999999999</v>
      </c>
      <c r="N44" s="413">
        <f t="shared" si="20"/>
        <v>166.15799999999999</v>
      </c>
      <c r="O44" s="393">
        <f t="shared" si="21"/>
        <v>170.5208762755102</v>
      </c>
      <c r="P44" s="393">
        <f t="shared" si="22"/>
        <v>172.512</v>
      </c>
      <c r="Q44" s="393">
        <f t="shared" si="23"/>
        <v>169.77600000000001</v>
      </c>
      <c r="R44" s="393">
        <f t="shared" si="24"/>
        <v>159.804</v>
      </c>
      <c r="S44" s="393">
        <f t="shared" si="25"/>
        <v>161.39250000000001</v>
      </c>
      <c r="T44" s="393">
        <f t="shared" si="26"/>
        <v>166.15799999999999</v>
      </c>
      <c r="U44" s="413">
        <f t="shared" si="27"/>
        <v>166.15799999999999</v>
      </c>
    </row>
    <row r="45" spans="1:21">
      <c r="A45">
        <v>359</v>
      </c>
      <c r="B45">
        <v>39</v>
      </c>
      <c r="C45" t="s">
        <v>125</v>
      </c>
      <c r="D45" s="391">
        <f t="shared" si="17"/>
        <v>1.8</v>
      </c>
      <c r="E45" s="390">
        <v>7.6954572286205891E-2</v>
      </c>
      <c r="F45" s="400">
        <v>0.25200000000000006</v>
      </c>
      <c r="G45" s="400">
        <v>0.25200000000000006</v>
      </c>
      <c r="H45" s="400">
        <v>1.8</v>
      </c>
      <c r="I45" s="400">
        <v>1.8</v>
      </c>
      <c r="J45" s="400">
        <v>1.8</v>
      </c>
      <c r="K45" s="400">
        <v>1.8</v>
      </c>
      <c r="L45" s="400">
        <f t="shared" si="18"/>
        <v>1.026</v>
      </c>
      <c r="M45" s="413">
        <f t="shared" si="19"/>
        <v>1.026</v>
      </c>
      <c r="N45" s="413">
        <f t="shared" si="20"/>
        <v>1.026</v>
      </c>
      <c r="O45" s="393">
        <f t="shared" si="21"/>
        <v>0.16447728614310297</v>
      </c>
      <c r="P45" s="393">
        <f t="shared" si="22"/>
        <v>0.25200000000000006</v>
      </c>
      <c r="Q45" s="393">
        <f t="shared" si="23"/>
        <v>1.026</v>
      </c>
      <c r="R45" s="393">
        <f t="shared" si="24"/>
        <v>1.8</v>
      </c>
      <c r="S45" s="393">
        <f t="shared" si="25"/>
        <v>1.6065</v>
      </c>
      <c r="T45" s="393">
        <f t="shared" si="26"/>
        <v>1.026</v>
      </c>
      <c r="U45" s="413">
        <f t="shared" si="27"/>
        <v>1.026</v>
      </c>
    </row>
    <row r="46" spans="1:21">
      <c r="A46">
        <v>363</v>
      </c>
      <c r="B46">
        <v>40</v>
      </c>
      <c r="C46" t="s">
        <v>126</v>
      </c>
      <c r="D46" s="391">
        <f t="shared" si="17"/>
        <v>82.188000000000002</v>
      </c>
      <c r="E46" s="390">
        <v>125.85482035067548</v>
      </c>
      <c r="F46" s="400">
        <v>84.024000000000001</v>
      </c>
      <c r="G46" s="400">
        <v>71.460000000000008</v>
      </c>
      <c r="H46" s="400">
        <v>82.188000000000002</v>
      </c>
      <c r="I46" s="400">
        <v>82.188000000000002</v>
      </c>
      <c r="J46" s="400">
        <v>82.188000000000002</v>
      </c>
      <c r="K46" s="400">
        <v>82.188000000000002</v>
      </c>
      <c r="L46" s="400">
        <f t="shared" si="18"/>
        <v>79.965000000000003</v>
      </c>
      <c r="M46" s="413">
        <f t="shared" si="19"/>
        <v>79.965000000000003</v>
      </c>
      <c r="N46" s="413">
        <f t="shared" si="20"/>
        <v>79.965000000000003</v>
      </c>
      <c r="O46" s="393">
        <f t="shared" si="21"/>
        <v>104.93941017533774</v>
      </c>
      <c r="P46" s="393">
        <f t="shared" si="22"/>
        <v>77.742000000000004</v>
      </c>
      <c r="Q46" s="393">
        <f t="shared" si="23"/>
        <v>76.824000000000012</v>
      </c>
      <c r="R46" s="393">
        <f t="shared" si="24"/>
        <v>82.188000000000002</v>
      </c>
      <c r="S46" s="393">
        <f t="shared" si="25"/>
        <v>81.632249999999999</v>
      </c>
      <c r="T46" s="393">
        <f t="shared" si="26"/>
        <v>79.965000000000003</v>
      </c>
      <c r="U46" s="413">
        <f t="shared" si="27"/>
        <v>79.965000000000003</v>
      </c>
    </row>
    <row r="47" spans="1:21">
      <c r="A47">
        <v>178</v>
      </c>
      <c r="B47">
        <v>41</v>
      </c>
      <c r="C47" t="s">
        <v>579</v>
      </c>
      <c r="D47" s="391">
        <f t="shared" si="17"/>
        <v>0</v>
      </c>
      <c r="E47" s="390">
        <v>75.410060729670334</v>
      </c>
      <c r="F47" s="400"/>
      <c r="G47" s="400"/>
      <c r="H47" s="400"/>
      <c r="I47" s="400"/>
      <c r="J47" s="400"/>
      <c r="K47" s="400"/>
      <c r="L47" s="400" t="e">
        <f t="shared" si="18"/>
        <v>#DIV/0!</v>
      </c>
      <c r="M47" s="413" t="e">
        <f t="shared" si="19"/>
        <v>#DIV/0!</v>
      </c>
      <c r="N47" s="413" t="e">
        <f t="shared" si="20"/>
        <v>#DIV/0!</v>
      </c>
      <c r="O47" s="393">
        <f t="shared" si="21"/>
        <v>75.410060729670334</v>
      </c>
      <c r="P47" s="393" t="e">
        <f t="shared" si="22"/>
        <v>#DIV/0!</v>
      </c>
      <c r="Q47" s="393" t="e">
        <f t="shared" si="23"/>
        <v>#DIV/0!</v>
      </c>
      <c r="R47" s="393" t="e">
        <f t="shared" si="24"/>
        <v>#DIV/0!</v>
      </c>
      <c r="S47" s="393" t="e">
        <f t="shared" si="25"/>
        <v>#DIV/0!</v>
      </c>
      <c r="T47" s="393" t="e">
        <f t="shared" si="26"/>
        <v>#DIV/0!</v>
      </c>
      <c r="U47" s="413" t="e">
        <f t="shared" si="27"/>
        <v>#DIV/0!</v>
      </c>
    </row>
    <row r="48" spans="1:21">
      <c r="A48">
        <v>100</v>
      </c>
      <c r="B48">
        <v>42</v>
      </c>
      <c r="C48" t="s">
        <v>129</v>
      </c>
      <c r="D48" s="391">
        <f t="shared" si="17"/>
        <v>85.932000000000002</v>
      </c>
      <c r="E48" s="390">
        <v>109.22743675497718</v>
      </c>
      <c r="F48" s="400">
        <v>97.632000000000005</v>
      </c>
      <c r="G48" s="400">
        <v>97.2</v>
      </c>
      <c r="H48" s="400">
        <v>85.932000000000002</v>
      </c>
      <c r="I48" s="400">
        <v>85.932000000000002</v>
      </c>
      <c r="J48" s="400">
        <v>85.932000000000002</v>
      </c>
      <c r="K48" s="400">
        <v>85.932000000000002</v>
      </c>
      <c r="L48" s="400">
        <f t="shared" si="18"/>
        <v>91.674000000000007</v>
      </c>
      <c r="M48" s="413">
        <f t="shared" si="19"/>
        <v>91.674000000000007</v>
      </c>
      <c r="N48" s="413">
        <f t="shared" si="20"/>
        <v>91.674000000000007</v>
      </c>
      <c r="O48" s="393">
        <f t="shared" si="21"/>
        <v>103.4297183774886</v>
      </c>
      <c r="P48" s="393">
        <f t="shared" si="22"/>
        <v>97.415999999999997</v>
      </c>
      <c r="Q48" s="393">
        <f t="shared" si="23"/>
        <v>91.566000000000003</v>
      </c>
      <c r="R48" s="393">
        <f t="shared" si="24"/>
        <v>85.932000000000002</v>
      </c>
      <c r="S48" s="393">
        <f t="shared" si="25"/>
        <v>87.367500000000007</v>
      </c>
      <c r="T48" s="393">
        <f t="shared" si="26"/>
        <v>91.674000000000007</v>
      </c>
      <c r="U48" s="413">
        <f t="shared" si="27"/>
        <v>91.674000000000007</v>
      </c>
    </row>
    <row r="49" spans="1:21">
      <c r="A49">
        <v>338</v>
      </c>
      <c r="B49">
        <v>43</v>
      </c>
      <c r="C49" t="s">
        <v>516</v>
      </c>
      <c r="D49" s="391">
        <f t="shared" si="17"/>
        <v>75.63600000000001</v>
      </c>
      <c r="E49" s="390">
        <v>201.05315001041066</v>
      </c>
      <c r="F49" s="400">
        <v>158.68799999999999</v>
      </c>
      <c r="G49" s="400">
        <v>120.60000000000001</v>
      </c>
      <c r="H49" s="400">
        <v>75.63600000000001</v>
      </c>
      <c r="I49" s="400">
        <v>75.63600000000001</v>
      </c>
      <c r="J49" s="400">
        <v>75.63600000000001</v>
      </c>
      <c r="K49" s="400">
        <v>75.63600000000001</v>
      </c>
      <c r="L49" s="400">
        <f t="shared" si="18"/>
        <v>107.64000000000001</v>
      </c>
      <c r="M49" s="413">
        <f t="shared" si="19"/>
        <v>107.64000000000001</v>
      </c>
      <c r="N49" s="413">
        <f t="shared" si="20"/>
        <v>107.64000000000001</v>
      </c>
      <c r="O49" s="393">
        <f t="shared" si="21"/>
        <v>179.87057500520532</v>
      </c>
      <c r="P49" s="393">
        <f t="shared" si="22"/>
        <v>139.64400000000001</v>
      </c>
      <c r="Q49" s="393">
        <f t="shared" si="23"/>
        <v>98.118000000000009</v>
      </c>
      <c r="R49" s="393">
        <f t="shared" si="24"/>
        <v>75.63600000000001</v>
      </c>
      <c r="S49" s="393">
        <f t="shared" si="25"/>
        <v>83.637</v>
      </c>
      <c r="T49" s="393">
        <f t="shared" si="26"/>
        <v>107.64000000000001</v>
      </c>
      <c r="U49" s="413">
        <f t="shared" si="27"/>
        <v>107.64000000000001</v>
      </c>
    </row>
    <row r="50" spans="1:21">
      <c r="A50">
        <v>282</v>
      </c>
      <c r="B50">
        <v>44</v>
      </c>
      <c r="C50" t="s">
        <v>130</v>
      </c>
      <c r="D50" s="391">
        <f t="shared" si="17"/>
        <v>193.82400000000001</v>
      </c>
      <c r="E50" s="390">
        <v>189.23484398340253</v>
      </c>
      <c r="F50" s="400">
        <v>176.904</v>
      </c>
      <c r="G50" s="400">
        <v>176.86800000000002</v>
      </c>
      <c r="H50" s="400">
        <v>193.82400000000001</v>
      </c>
      <c r="I50" s="400">
        <v>193.82400000000001</v>
      </c>
      <c r="J50" s="400">
        <v>193.82400000000001</v>
      </c>
      <c r="K50" s="400">
        <v>193.82400000000001</v>
      </c>
      <c r="L50" s="400">
        <f t="shared" si="18"/>
        <v>185.35500000000002</v>
      </c>
      <c r="M50" s="413">
        <f t="shared" si="19"/>
        <v>185.35500000000002</v>
      </c>
      <c r="N50" s="413">
        <f t="shared" si="20"/>
        <v>185.35500000000002</v>
      </c>
      <c r="O50" s="393">
        <f t="shared" si="21"/>
        <v>183.06942199170126</v>
      </c>
      <c r="P50" s="393">
        <f t="shared" si="22"/>
        <v>176.88600000000002</v>
      </c>
      <c r="Q50" s="393">
        <f t="shared" si="23"/>
        <v>185.346</v>
      </c>
      <c r="R50" s="393">
        <f t="shared" si="24"/>
        <v>193.82400000000001</v>
      </c>
      <c r="S50" s="393">
        <f t="shared" si="25"/>
        <v>191.70675</v>
      </c>
      <c r="T50" s="393">
        <f t="shared" si="26"/>
        <v>185.35500000000002</v>
      </c>
      <c r="U50" s="413">
        <f t="shared" si="27"/>
        <v>185.35500000000002</v>
      </c>
    </row>
    <row r="51" spans="1:21">
      <c r="A51">
        <v>5</v>
      </c>
      <c r="B51">
        <v>45</v>
      </c>
      <c r="C51" t="s">
        <v>131</v>
      </c>
      <c r="D51" s="391">
        <f t="shared" si="17"/>
        <v>116.46000000000001</v>
      </c>
      <c r="E51" s="390">
        <v>198.34951874586</v>
      </c>
      <c r="F51" s="400">
        <v>189.072</v>
      </c>
      <c r="G51" s="400">
        <v>136.404</v>
      </c>
      <c r="H51" s="400">
        <v>116.46000000000001</v>
      </c>
      <c r="I51" s="400">
        <v>116.46000000000001</v>
      </c>
      <c r="J51" s="400">
        <v>116.46000000000001</v>
      </c>
      <c r="K51" s="400">
        <v>116.46000000000001</v>
      </c>
      <c r="L51" s="400">
        <f t="shared" si="18"/>
        <v>139.59900000000002</v>
      </c>
      <c r="M51" s="413">
        <f t="shared" si="19"/>
        <v>139.59900000000002</v>
      </c>
      <c r="N51" s="413">
        <f t="shared" si="20"/>
        <v>139.59900000000002</v>
      </c>
      <c r="O51" s="393">
        <f t="shared" si="21"/>
        <v>193.71075937293</v>
      </c>
      <c r="P51" s="393">
        <f t="shared" si="22"/>
        <v>162.738</v>
      </c>
      <c r="Q51" s="393">
        <f t="shared" si="23"/>
        <v>126.432</v>
      </c>
      <c r="R51" s="393">
        <f t="shared" si="24"/>
        <v>116.46000000000001</v>
      </c>
      <c r="S51" s="393">
        <f t="shared" si="25"/>
        <v>122.24475000000001</v>
      </c>
      <c r="T51" s="393">
        <f t="shared" si="26"/>
        <v>139.59900000000002</v>
      </c>
      <c r="U51" s="413">
        <f t="shared" si="27"/>
        <v>139.59900000000002</v>
      </c>
    </row>
    <row r="52" spans="1:21">
      <c r="A52">
        <v>246</v>
      </c>
      <c r="B52">
        <v>46</v>
      </c>
      <c r="C52" t="s">
        <v>132</v>
      </c>
      <c r="D52" s="391">
        <f t="shared" si="17"/>
        <v>0</v>
      </c>
      <c r="E52" s="390">
        <v>0</v>
      </c>
      <c r="F52" s="400">
        <v>0</v>
      </c>
      <c r="G52" s="400">
        <v>0</v>
      </c>
      <c r="H52" s="400">
        <v>0</v>
      </c>
      <c r="I52" s="400">
        <v>0</v>
      </c>
      <c r="J52" s="400">
        <v>0</v>
      </c>
      <c r="K52" s="400">
        <v>0</v>
      </c>
      <c r="L52" s="400">
        <f t="shared" si="18"/>
        <v>0</v>
      </c>
      <c r="M52" s="413">
        <f t="shared" si="19"/>
        <v>0</v>
      </c>
      <c r="N52" s="413">
        <f t="shared" si="20"/>
        <v>0</v>
      </c>
      <c r="O52" s="393">
        <f t="shared" si="21"/>
        <v>0</v>
      </c>
      <c r="P52" s="393">
        <f t="shared" si="22"/>
        <v>0</v>
      </c>
      <c r="Q52" s="393">
        <f t="shared" si="23"/>
        <v>0</v>
      </c>
      <c r="R52" s="393">
        <f t="shared" si="24"/>
        <v>0</v>
      </c>
      <c r="S52" s="393">
        <f t="shared" si="25"/>
        <v>0</v>
      </c>
      <c r="T52" s="393">
        <f t="shared" si="26"/>
        <v>0</v>
      </c>
      <c r="U52" s="413">
        <f t="shared" si="27"/>
        <v>0</v>
      </c>
    </row>
    <row r="53" spans="1:21">
      <c r="A53">
        <v>252</v>
      </c>
      <c r="B53">
        <v>47</v>
      </c>
      <c r="C53" t="s">
        <v>133</v>
      </c>
      <c r="D53" s="391">
        <f t="shared" si="17"/>
        <v>0.108</v>
      </c>
      <c r="E53" s="390">
        <v>0.28418727778481906</v>
      </c>
      <c r="F53" s="400">
        <v>0.18000000000000002</v>
      </c>
      <c r="G53" s="400">
        <v>0</v>
      </c>
      <c r="H53" s="400">
        <v>0.108</v>
      </c>
      <c r="I53" s="400">
        <v>0.108</v>
      </c>
      <c r="J53" s="400">
        <v>0.108</v>
      </c>
      <c r="K53" s="400">
        <v>0.108</v>
      </c>
      <c r="L53" s="400">
        <f t="shared" si="18"/>
        <v>9.9000000000000005E-2</v>
      </c>
      <c r="M53" s="413">
        <f t="shared" si="19"/>
        <v>9.9000000000000005E-2</v>
      </c>
      <c r="N53" s="413">
        <f t="shared" si="20"/>
        <v>9.9000000000000005E-2</v>
      </c>
      <c r="O53" s="393">
        <f t="shared" si="21"/>
        <v>0.23209363889240953</v>
      </c>
      <c r="P53" s="393">
        <f t="shared" si="22"/>
        <v>9.0000000000000011E-2</v>
      </c>
      <c r="Q53" s="393">
        <f t="shared" si="23"/>
        <v>5.3999999999999999E-2</v>
      </c>
      <c r="R53" s="393">
        <f t="shared" si="24"/>
        <v>0.108</v>
      </c>
      <c r="S53" s="393">
        <f t="shared" si="25"/>
        <v>0.10575000000000001</v>
      </c>
      <c r="T53" s="393">
        <f t="shared" si="26"/>
        <v>9.9000000000000005E-2</v>
      </c>
      <c r="U53" s="413">
        <f t="shared" si="27"/>
        <v>9.9000000000000005E-2</v>
      </c>
    </row>
    <row r="54" spans="1:21">
      <c r="A54">
        <v>328</v>
      </c>
      <c r="B54">
        <v>48</v>
      </c>
      <c r="C54" t="s">
        <v>553</v>
      </c>
      <c r="D54" s="391">
        <f t="shared" si="17"/>
        <v>54.504000000000005</v>
      </c>
      <c r="E54" s="390">
        <v>114.03896307951671</v>
      </c>
      <c r="F54" s="400">
        <v>79.451999999999998</v>
      </c>
      <c r="G54" s="400">
        <v>67.391999999999996</v>
      </c>
      <c r="H54" s="400">
        <v>54.504000000000005</v>
      </c>
      <c r="I54" s="400">
        <v>54.504000000000005</v>
      </c>
      <c r="J54" s="400">
        <v>54.504000000000005</v>
      </c>
      <c r="K54" s="400">
        <v>54.504000000000005</v>
      </c>
      <c r="L54" s="400">
        <f t="shared" si="18"/>
        <v>63.963000000000008</v>
      </c>
      <c r="M54" s="413">
        <f t="shared" si="19"/>
        <v>63.963000000000008</v>
      </c>
      <c r="N54" s="413">
        <f t="shared" si="20"/>
        <v>63.963000000000008</v>
      </c>
      <c r="O54" s="393">
        <f t="shared" si="21"/>
        <v>96.745481539758345</v>
      </c>
      <c r="P54" s="393">
        <f t="shared" si="22"/>
        <v>73.421999999999997</v>
      </c>
      <c r="Q54" s="393">
        <f t="shared" si="23"/>
        <v>60.948</v>
      </c>
      <c r="R54" s="393">
        <f t="shared" si="24"/>
        <v>54.504000000000005</v>
      </c>
      <c r="S54" s="393">
        <f t="shared" si="25"/>
        <v>56.868750000000006</v>
      </c>
      <c r="T54" s="393">
        <f t="shared" si="26"/>
        <v>63.963000000000008</v>
      </c>
      <c r="U54" s="413">
        <f t="shared" si="27"/>
        <v>63.963000000000008</v>
      </c>
    </row>
    <row r="55" spans="1:21">
      <c r="A55">
        <v>198</v>
      </c>
      <c r="B55">
        <v>49</v>
      </c>
      <c r="C55" t="s">
        <v>134</v>
      </c>
      <c r="D55" s="391">
        <f t="shared" si="17"/>
        <v>106.236</v>
      </c>
      <c r="E55" s="390">
        <v>137.79964089427239</v>
      </c>
      <c r="F55" s="400">
        <v>136.80000000000001</v>
      </c>
      <c r="G55" s="400">
        <v>119.988</v>
      </c>
      <c r="H55" s="400">
        <v>106.236</v>
      </c>
      <c r="I55" s="400">
        <v>106.236</v>
      </c>
      <c r="J55" s="400">
        <v>106.236</v>
      </c>
      <c r="K55" s="400">
        <v>106.236</v>
      </c>
      <c r="L55" s="400">
        <f t="shared" si="18"/>
        <v>117.315</v>
      </c>
      <c r="M55" s="413">
        <f t="shared" si="19"/>
        <v>117.315</v>
      </c>
      <c r="N55" s="413">
        <f t="shared" si="20"/>
        <v>117.315</v>
      </c>
      <c r="O55" s="393">
        <f t="shared" si="21"/>
        <v>137.2998204471362</v>
      </c>
      <c r="P55" s="393">
        <f t="shared" si="22"/>
        <v>128.39400000000001</v>
      </c>
      <c r="Q55" s="393">
        <f t="shared" si="23"/>
        <v>113.11199999999999</v>
      </c>
      <c r="R55" s="393">
        <f t="shared" si="24"/>
        <v>106.236</v>
      </c>
      <c r="S55" s="393">
        <f t="shared" si="25"/>
        <v>109.00575000000001</v>
      </c>
      <c r="T55" s="393">
        <f t="shared" si="26"/>
        <v>117.315</v>
      </c>
      <c r="U55" s="413">
        <f t="shared" si="27"/>
        <v>117.315</v>
      </c>
    </row>
    <row r="56" spans="1:21">
      <c r="A56">
        <v>472</v>
      </c>
      <c r="B56">
        <v>50</v>
      </c>
      <c r="C56" t="s">
        <v>135</v>
      </c>
      <c r="D56" s="391">
        <f t="shared" si="17"/>
        <v>136.94399999999999</v>
      </c>
      <c r="E56" s="390">
        <v>166.19587454302695</v>
      </c>
      <c r="F56" s="400">
        <v>138.38399999999999</v>
      </c>
      <c r="G56" s="400">
        <v>157.93199999999999</v>
      </c>
      <c r="H56" s="400">
        <v>136.94399999999999</v>
      </c>
      <c r="I56" s="400">
        <v>136.94399999999999</v>
      </c>
      <c r="J56" s="400">
        <v>136.94399999999999</v>
      </c>
      <c r="K56" s="400">
        <v>136.94399999999999</v>
      </c>
      <c r="L56" s="400">
        <f t="shared" si="18"/>
        <v>142.55099999999999</v>
      </c>
      <c r="M56" s="413">
        <f t="shared" si="19"/>
        <v>142.55099999999999</v>
      </c>
      <c r="N56" s="413">
        <f t="shared" si="20"/>
        <v>142.55099999999999</v>
      </c>
      <c r="O56" s="393">
        <f t="shared" si="21"/>
        <v>152.28993727151345</v>
      </c>
      <c r="P56" s="393">
        <f t="shared" si="22"/>
        <v>148.15799999999999</v>
      </c>
      <c r="Q56" s="393">
        <f t="shared" si="23"/>
        <v>147.43799999999999</v>
      </c>
      <c r="R56" s="393">
        <f t="shared" si="24"/>
        <v>136.94399999999999</v>
      </c>
      <c r="S56" s="393">
        <f t="shared" si="25"/>
        <v>138.34575000000001</v>
      </c>
      <c r="T56" s="393">
        <f t="shared" si="26"/>
        <v>142.55099999999999</v>
      </c>
      <c r="U56" s="413">
        <f t="shared" si="27"/>
        <v>142.55099999999999</v>
      </c>
    </row>
    <row r="57" spans="1:21">
      <c r="A57">
        <v>141</v>
      </c>
      <c r="B57">
        <v>51</v>
      </c>
      <c r="C57" t="s">
        <v>136</v>
      </c>
      <c r="D57" s="391">
        <f t="shared" si="17"/>
        <v>0</v>
      </c>
      <c r="E57" s="390">
        <v>299.77388459250443</v>
      </c>
      <c r="F57" s="400">
        <v>0</v>
      </c>
      <c r="G57" s="400">
        <v>0</v>
      </c>
      <c r="H57" s="400">
        <v>0</v>
      </c>
      <c r="I57" s="400">
        <v>0</v>
      </c>
      <c r="J57" s="400">
        <v>0</v>
      </c>
      <c r="K57" s="400">
        <v>0</v>
      </c>
      <c r="L57" s="400">
        <f t="shared" si="18"/>
        <v>0</v>
      </c>
      <c r="M57" s="413">
        <f t="shared" si="19"/>
        <v>0</v>
      </c>
      <c r="N57" s="413">
        <f t="shared" si="20"/>
        <v>0</v>
      </c>
      <c r="O57" s="393">
        <f t="shared" si="21"/>
        <v>149.88694229625222</v>
      </c>
      <c r="P57" s="393">
        <f t="shared" si="22"/>
        <v>0</v>
      </c>
      <c r="Q57" s="393">
        <f t="shared" si="23"/>
        <v>0</v>
      </c>
      <c r="R57" s="393">
        <f t="shared" si="24"/>
        <v>0</v>
      </c>
      <c r="S57" s="393">
        <f t="shared" si="25"/>
        <v>0</v>
      </c>
      <c r="T57" s="393">
        <f t="shared" si="26"/>
        <v>0</v>
      </c>
      <c r="U57" s="413">
        <f t="shared" si="27"/>
        <v>0</v>
      </c>
    </row>
    <row r="58" spans="1:21">
      <c r="A58">
        <v>75</v>
      </c>
      <c r="B58">
        <v>52</v>
      </c>
      <c r="C58" t="s">
        <v>137</v>
      </c>
      <c r="D58" s="391">
        <f t="shared" si="17"/>
        <v>60.012000000000008</v>
      </c>
      <c r="E58" s="390">
        <v>146.4819879956307</v>
      </c>
      <c r="F58" s="400">
        <v>55.188000000000002</v>
      </c>
      <c r="G58" s="400">
        <v>57.492000000000004</v>
      </c>
      <c r="H58" s="400">
        <v>60.012000000000008</v>
      </c>
      <c r="I58" s="400">
        <v>60.012000000000008</v>
      </c>
      <c r="J58" s="400">
        <v>60.012000000000008</v>
      </c>
      <c r="K58" s="400">
        <v>60.012000000000008</v>
      </c>
      <c r="L58" s="400">
        <f t="shared" si="18"/>
        <v>58.176000000000002</v>
      </c>
      <c r="M58" s="413">
        <f t="shared" si="19"/>
        <v>58.176000000000002</v>
      </c>
      <c r="N58" s="413">
        <f t="shared" si="20"/>
        <v>58.176000000000002</v>
      </c>
      <c r="O58" s="393">
        <f t="shared" si="21"/>
        <v>100.83499399781536</v>
      </c>
      <c r="P58" s="393">
        <f t="shared" si="22"/>
        <v>56.34</v>
      </c>
      <c r="Q58" s="393">
        <f t="shared" si="23"/>
        <v>58.75200000000001</v>
      </c>
      <c r="R58" s="393">
        <f t="shared" si="24"/>
        <v>60.012000000000008</v>
      </c>
      <c r="S58" s="393">
        <f t="shared" si="25"/>
        <v>59.553000000000011</v>
      </c>
      <c r="T58" s="393">
        <f t="shared" si="26"/>
        <v>58.176000000000002</v>
      </c>
      <c r="U58" s="413">
        <f t="shared" si="27"/>
        <v>58.176000000000002</v>
      </c>
    </row>
    <row r="59" spans="1:21">
      <c r="A59">
        <v>388</v>
      </c>
      <c r="B59">
        <v>53</v>
      </c>
      <c r="C59" t="s">
        <v>142</v>
      </c>
      <c r="D59" s="391">
        <f t="shared" si="17"/>
        <v>48.564</v>
      </c>
      <c r="E59" s="390">
        <v>67.131669670841873</v>
      </c>
      <c r="F59" s="400">
        <v>39.276000000000003</v>
      </c>
      <c r="G59" s="400">
        <v>36.648000000000003</v>
      </c>
      <c r="H59" s="400">
        <v>48.564</v>
      </c>
      <c r="I59" s="400">
        <v>48.564</v>
      </c>
      <c r="J59" s="400">
        <v>48.564</v>
      </c>
      <c r="K59" s="400">
        <v>48.564</v>
      </c>
      <c r="L59" s="400">
        <f t="shared" si="18"/>
        <v>43.262999999999998</v>
      </c>
      <c r="M59" s="413">
        <f t="shared" si="19"/>
        <v>43.262999999999998</v>
      </c>
      <c r="N59" s="413">
        <f t="shared" si="20"/>
        <v>43.262999999999998</v>
      </c>
      <c r="O59" s="393">
        <f t="shared" si="21"/>
        <v>53.203834835420935</v>
      </c>
      <c r="P59" s="393">
        <f t="shared" si="22"/>
        <v>37.962000000000003</v>
      </c>
      <c r="Q59" s="393">
        <f t="shared" si="23"/>
        <v>42.606000000000002</v>
      </c>
      <c r="R59" s="393">
        <f t="shared" si="24"/>
        <v>48.564</v>
      </c>
      <c r="S59" s="393">
        <f t="shared" si="25"/>
        <v>47.238750000000003</v>
      </c>
      <c r="T59" s="393">
        <f t="shared" si="26"/>
        <v>43.262999999999998</v>
      </c>
      <c r="U59" s="413">
        <f t="shared" si="27"/>
        <v>43.262999999999998</v>
      </c>
    </row>
    <row r="60" spans="1:21">
      <c r="A60">
        <v>151</v>
      </c>
      <c r="B60">
        <v>54</v>
      </c>
      <c r="C60" t="s">
        <v>143</v>
      </c>
      <c r="D60" s="391">
        <f t="shared" si="17"/>
        <v>124.41600000000001</v>
      </c>
      <c r="E60" s="390">
        <v>117.81720458192234</v>
      </c>
      <c r="F60" s="400">
        <v>117.97200000000001</v>
      </c>
      <c r="G60" s="400">
        <v>113.688</v>
      </c>
      <c r="H60" s="400">
        <v>124.41600000000001</v>
      </c>
      <c r="I60" s="400">
        <v>124.41600000000001</v>
      </c>
      <c r="J60" s="400">
        <v>124.41600000000001</v>
      </c>
      <c r="K60" s="400">
        <v>124.41600000000001</v>
      </c>
      <c r="L60" s="400">
        <f t="shared" si="18"/>
        <v>120.123</v>
      </c>
      <c r="M60" s="413">
        <f t="shared" si="19"/>
        <v>120.123</v>
      </c>
      <c r="N60" s="413">
        <f t="shared" si="20"/>
        <v>120.123</v>
      </c>
      <c r="O60" s="393">
        <f t="shared" si="21"/>
        <v>117.89460229096117</v>
      </c>
      <c r="P60" s="393">
        <f t="shared" si="22"/>
        <v>115.83000000000001</v>
      </c>
      <c r="Q60" s="393">
        <f t="shared" si="23"/>
        <v>119.05200000000001</v>
      </c>
      <c r="R60" s="393">
        <f t="shared" si="24"/>
        <v>124.41600000000001</v>
      </c>
      <c r="S60" s="393">
        <f t="shared" si="25"/>
        <v>123.34275000000001</v>
      </c>
      <c r="T60" s="393">
        <f t="shared" si="26"/>
        <v>120.123</v>
      </c>
      <c r="U60" s="413">
        <f t="shared" si="27"/>
        <v>120.123</v>
      </c>
    </row>
    <row r="61" spans="1:21">
      <c r="A61">
        <v>174</v>
      </c>
      <c r="B61">
        <v>55</v>
      </c>
      <c r="C61" t="s">
        <v>144</v>
      </c>
      <c r="D61" s="391">
        <f t="shared" si="17"/>
        <v>156.02400000000003</v>
      </c>
      <c r="E61" s="390">
        <v>139.12265309068806</v>
      </c>
      <c r="F61" s="400">
        <v>135.46800000000002</v>
      </c>
      <c r="G61" s="400">
        <v>168.48</v>
      </c>
      <c r="H61" s="400">
        <v>156.02400000000003</v>
      </c>
      <c r="I61" s="400">
        <v>156.02400000000003</v>
      </c>
      <c r="J61" s="400">
        <v>156.02400000000003</v>
      </c>
      <c r="K61" s="400">
        <v>156.02400000000003</v>
      </c>
      <c r="L61" s="400">
        <f t="shared" si="18"/>
        <v>153.999</v>
      </c>
      <c r="M61" s="413">
        <f t="shared" si="19"/>
        <v>153.999</v>
      </c>
      <c r="N61" s="413">
        <f t="shared" si="20"/>
        <v>153.999</v>
      </c>
      <c r="O61" s="393">
        <f t="shared" si="21"/>
        <v>137.29532654534404</v>
      </c>
      <c r="P61" s="393">
        <f t="shared" si="22"/>
        <v>151.97399999999999</v>
      </c>
      <c r="Q61" s="393">
        <f t="shared" si="23"/>
        <v>162.25200000000001</v>
      </c>
      <c r="R61" s="393">
        <f t="shared" si="24"/>
        <v>156.02400000000003</v>
      </c>
      <c r="S61" s="393">
        <f t="shared" si="25"/>
        <v>155.51775000000004</v>
      </c>
      <c r="T61" s="393">
        <f t="shared" si="26"/>
        <v>153.999</v>
      </c>
      <c r="U61" s="413">
        <f t="shared" si="27"/>
        <v>153.999</v>
      </c>
    </row>
    <row r="62" spans="1:21">
      <c r="A62">
        <v>126</v>
      </c>
      <c r="B62">
        <v>56</v>
      </c>
      <c r="C62" t="s">
        <v>145</v>
      </c>
      <c r="D62" s="391">
        <f t="shared" si="17"/>
        <v>0.108</v>
      </c>
      <c r="E62" s="390">
        <v>3.7955047929838885E-2</v>
      </c>
      <c r="F62" s="400">
        <v>3.6000000000000004E-2</v>
      </c>
      <c r="G62" s="400">
        <v>3.6000000000000004E-2</v>
      </c>
      <c r="H62" s="400">
        <v>0.108</v>
      </c>
      <c r="I62" s="400">
        <v>0.108</v>
      </c>
      <c r="J62" s="400">
        <v>0.108</v>
      </c>
      <c r="K62" s="400">
        <v>0.108</v>
      </c>
      <c r="L62" s="400">
        <f t="shared" si="18"/>
        <v>7.1999999999999995E-2</v>
      </c>
      <c r="M62" s="413">
        <f t="shared" si="19"/>
        <v>7.1999999999999995E-2</v>
      </c>
      <c r="N62" s="413">
        <f t="shared" si="20"/>
        <v>7.1999999999999995E-2</v>
      </c>
      <c r="O62" s="393">
        <f t="shared" si="21"/>
        <v>3.6977523964919448E-2</v>
      </c>
      <c r="P62" s="393">
        <f t="shared" si="22"/>
        <v>3.6000000000000004E-2</v>
      </c>
      <c r="Q62" s="393">
        <f t="shared" si="23"/>
        <v>7.2000000000000008E-2</v>
      </c>
      <c r="R62" s="393">
        <f t="shared" si="24"/>
        <v>0.108</v>
      </c>
      <c r="S62" s="393">
        <f t="shared" si="25"/>
        <v>9.9000000000000005E-2</v>
      </c>
      <c r="T62" s="393">
        <f t="shared" si="26"/>
        <v>7.1999999999999995E-2</v>
      </c>
      <c r="U62" s="413">
        <f t="shared" si="27"/>
        <v>7.1999999999999995E-2</v>
      </c>
    </row>
    <row r="63" spans="1:21">
      <c r="A63">
        <v>378</v>
      </c>
      <c r="B63">
        <v>57</v>
      </c>
      <c r="C63" t="s">
        <v>200</v>
      </c>
      <c r="D63" s="391">
        <f t="shared" si="17"/>
        <v>1.512</v>
      </c>
      <c r="E63" s="390">
        <v>0.82154925460391703</v>
      </c>
      <c r="F63" s="400">
        <v>6.7320000000000002</v>
      </c>
      <c r="G63" s="400">
        <v>2.7</v>
      </c>
      <c r="H63" s="400">
        <v>1.512</v>
      </c>
      <c r="I63" s="400">
        <v>1.512</v>
      </c>
      <c r="J63" s="400">
        <v>1.512</v>
      </c>
      <c r="K63" s="400">
        <v>1.512</v>
      </c>
      <c r="L63" s="400">
        <f t="shared" si="18"/>
        <v>3.1140000000000003</v>
      </c>
      <c r="M63" s="413">
        <f t="shared" si="19"/>
        <v>3.1140000000000003</v>
      </c>
      <c r="N63" s="413">
        <f t="shared" si="20"/>
        <v>3.1140000000000003</v>
      </c>
      <c r="O63" s="393">
        <f t="shared" si="21"/>
        <v>3.7767746273019585</v>
      </c>
      <c r="P63" s="393">
        <f t="shared" si="22"/>
        <v>4.7160000000000002</v>
      </c>
      <c r="Q63" s="393">
        <f t="shared" si="23"/>
        <v>2.1059999999999999</v>
      </c>
      <c r="R63" s="393">
        <f t="shared" si="24"/>
        <v>1.512</v>
      </c>
      <c r="S63" s="393">
        <f t="shared" si="25"/>
        <v>1.9125000000000001</v>
      </c>
      <c r="T63" s="393">
        <f t="shared" si="26"/>
        <v>3.1140000000000003</v>
      </c>
      <c r="U63" s="413">
        <f t="shared" si="27"/>
        <v>3.1140000000000003</v>
      </c>
    </row>
    <row r="64" spans="1:21">
      <c r="A64">
        <v>286</v>
      </c>
      <c r="B64">
        <v>58</v>
      </c>
      <c r="C64" t="s">
        <v>146</v>
      </c>
      <c r="D64" s="391">
        <f t="shared" si="17"/>
        <v>5.4720000000000004</v>
      </c>
      <c r="E64" s="390">
        <v>7.9691439879185548</v>
      </c>
      <c r="F64" s="400">
        <v>18.18</v>
      </c>
      <c r="G64" s="400">
        <v>0.36000000000000004</v>
      </c>
      <c r="H64" s="400">
        <v>5.4720000000000004</v>
      </c>
      <c r="I64" s="400">
        <v>5.4720000000000004</v>
      </c>
      <c r="J64" s="400">
        <v>5.4720000000000004</v>
      </c>
      <c r="K64" s="400">
        <v>5.4720000000000004</v>
      </c>
      <c r="L64" s="400">
        <f t="shared" si="18"/>
        <v>7.3710000000000004</v>
      </c>
      <c r="M64" s="413">
        <f t="shared" si="19"/>
        <v>7.3710000000000004</v>
      </c>
      <c r="N64" s="413">
        <f t="shared" si="20"/>
        <v>7.3710000000000004</v>
      </c>
      <c r="O64" s="393">
        <f t="shared" si="21"/>
        <v>13.074571993959278</v>
      </c>
      <c r="P64" s="393">
        <f t="shared" si="22"/>
        <v>9.27</v>
      </c>
      <c r="Q64" s="393">
        <f t="shared" si="23"/>
        <v>2.9160000000000004</v>
      </c>
      <c r="R64" s="393">
        <f t="shared" si="24"/>
        <v>5.4720000000000004</v>
      </c>
      <c r="S64" s="393">
        <f t="shared" si="25"/>
        <v>5.9467499999999998</v>
      </c>
      <c r="T64" s="393">
        <f t="shared" si="26"/>
        <v>7.3710000000000004</v>
      </c>
      <c r="U64" s="413">
        <f t="shared" si="27"/>
        <v>7.3710000000000004</v>
      </c>
    </row>
    <row r="65" spans="1:21">
      <c r="A65">
        <v>165</v>
      </c>
      <c r="B65">
        <v>59</v>
      </c>
      <c r="C65" t="s">
        <v>147</v>
      </c>
      <c r="D65" s="391">
        <f t="shared" si="17"/>
        <v>133.12799999999999</v>
      </c>
      <c r="E65" s="390">
        <v>155.17420793086714</v>
      </c>
      <c r="F65" s="400">
        <v>142.70400000000001</v>
      </c>
      <c r="G65" s="400">
        <v>137.66400000000002</v>
      </c>
      <c r="H65" s="400">
        <v>133.12799999999999</v>
      </c>
      <c r="I65" s="400">
        <v>133.12799999999999</v>
      </c>
      <c r="J65" s="400">
        <v>133.12799999999999</v>
      </c>
      <c r="K65" s="400">
        <v>133.12799999999999</v>
      </c>
      <c r="L65" s="400">
        <f t="shared" si="18"/>
        <v>136.65600000000001</v>
      </c>
      <c r="M65" s="413">
        <f t="shared" si="19"/>
        <v>136.65600000000001</v>
      </c>
      <c r="N65" s="413">
        <f t="shared" si="20"/>
        <v>136.65600000000001</v>
      </c>
      <c r="O65" s="393">
        <f t="shared" si="21"/>
        <v>148.93910396543356</v>
      </c>
      <c r="P65" s="393">
        <f t="shared" si="22"/>
        <v>140.18400000000003</v>
      </c>
      <c r="Q65" s="393">
        <f t="shared" si="23"/>
        <v>135.39600000000002</v>
      </c>
      <c r="R65" s="393">
        <f t="shared" si="24"/>
        <v>133.12799999999999</v>
      </c>
      <c r="S65" s="393">
        <f t="shared" si="25"/>
        <v>134.01</v>
      </c>
      <c r="T65" s="393">
        <f t="shared" si="26"/>
        <v>136.65600000000001</v>
      </c>
      <c r="U65" s="413">
        <f t="shared" si="27"/>
        <v>136.65600000000001</v>
      </c>
    </row>
    <row r="66" spans="1:21">
      <c r="A66">
        <v>42</v>
      </c>
      <c r="B66">
        <v>60</v>
      </c>
      <c r="C66" t="s">
        <v>148</v>
      </c>
      <c r="D66" s="391">
        <f t="shared" si="17"/>
        <v>43.2</v>
      </c>
      <c r="E66" s="390">
        <v>98.18958922583333</v>
      </c>
      <c r="F66" s="400">
        <v>78.444000000000003</v>
      </c>
      <c r="G66" s="400">
        <v>51.552</v>
      </c>
      <c r="H66" s="400">
        <v>43.2</v>
      </c>
      <c r="I66" s="400">
        <v>43.2</v>
      </c>
      <c r="J66" s="400">
        <v>43.2</v>
      </c>
      <c r="K66" s="400">
        <v>43.2</v>
      </c>
      <c r="L66" s="400">
        <f t="shared" si="18"/>
        <v>54.099000000000004</v>
      </c>
      <c r="M66" s="413">
        <f t="shared" si="19"/>
        <v>54.099000000000004</v>
      </c>
      <c r="N66" s="413">
        <f t="shared" si="20"/>
        <v>54.099000000000004</v>
      </c>
      <c r="O66" s="393">
        <f t="shared" si="21"/>
        <v>88.316794612916667</v>
      </c>
      <c r="P66" s="393">
        <f t="shared" si="22"/>
        <v>64.998000000000005</v>
      </c>
      <c r="Q66" s="393">
        <f t="shared" si="23"/>
        <v>47.376000000000005</v>
      </c>
      <c r="R66" s="393">
        <f t="shared" si="24"/>
        <v>43.2</v>
      </c>
      <c r="S66" s="393">
        <f t="shared" si="25"/>
        <v>45.924750000000003</v>
      </c>
      <c r="T66" s="393">
        <f t="shared" si="26"/>
        <v>54.099000000000004</v>
      </c>
      <c r="U66" s="413">
        <f t="shared" si="27"/>
        <v>54.099000000000004</v>
      </c>
    </row>
    <row r="67" spans="1:21">
      <c r="A67">
        <v>371</v>
      </c>
      <c r="B67">
        <v>61</v>
      </c>
      <c r="C67" t="s">
        <v>149</v>
      </c>
      <c r="D67" s="391">
        <f t="shared" si="17"/>
        <v>0</v>
      </c>
      <c r="E67" s="390">
        <v>0</v>
      </c>
      <c r="F67" s="400">
        <v>0</v>
      </c>
      <c r="G67" s="400">
        <v>0</v>
      </c>
      <c r="H67" s="400">
        <v>0</v>
      </c>
      <c r="I67" s="400">
        <v>0</v>
      </c>
      <c r="J67" s="400">
        <v>0</v>
      </c>
      <c r="K67" s="400">
        <v>0</v>
      </c>
      <c r="L67" s="400">
        <f t="shared" si="18"/>
        <v>0</v>
      </c>
      <c r="M67" s="413">
        <f t="shared" si="19"/>
        <v>0</v>
      </c>
      <c r="N67" s="413">
        <f t="shared" si="20"/>
        <v>0</v>
      </c>
      <c r="O67" s="393">
        <f t="shared" si="21"/>
        <v>0</v>
      </c>
      <c r="P67" s="393">
        <f t="shared" si="22"/>
        <v>0</v>
      </c>
      <c r="Q67" s="393">
        <f t="shared" si="23"/>
        <v>0</v>
      </c>
      <c r="R67" s="393">
        <f t="shared" si="24"/>
        <v>0</v>
      </c>
      <c r="S67" s="393">
        <f t="shared" si="25"/>
        <v>0</v>
      </c>
      <c r="T67" s="393">
        <f t="shared" si="26"/>
        <v>0</v>
      </c>
      <c r="U67" s="413">
        <f t="shared" si="27"/>
        <v>0</v>
      </c>
    </row>
    <row r="68" spans="1:21">
      <c r="A68">
        <v>44</v>
      </c>
      <c r="B68">
        <v>62</v>
      </c>
      <c r="C68" t="s">
        <v>577</v>
      </c>
      <c r="D68" s="391">
        <f t="shared" si="17"/>
        <v>81.25200000000001</v>
      </c>
      <c r="E68" s="390">
        <v>92.493804516078043</v>
      </c>
      <c r="F68" s="400">
        <v>86.652000000000001</v>
      </c>
      <c r="G68" s="400">
        <v>70.236000000000004</v>
      </c>
      <c r="H68" s="400">
        <v>81.25200000000001</v>
      </c>
      <c r="I68" s="400">
        <v>81.25200000000001</v>
      </c>
      <c r="J68" s="400">
        <v>81.25200000000001</v>
      </c>
      <c r="K68" s="400">
        <v>81.25200000000001</v>
      </c>
      <c r="L68" s="400">
        <f t="shared" si="18"/>
        <v>79.848000000000013</v>
      </c>
      <c r="M68" s="413">
        <f t="shared" si="19"/>
        <v>79.848000000000013</v>
      </c>
      <c r="N68" s="413">
        <f t="shared" si="20"/>
        <v>79.848000000000013</v>
      </c>
      <c r="O68" s="393">
        <f t="shared" si="21"/>
        <v>89.572902258039022</v>
      </c>
      <c r="P68" s="393">
        <f t="shared" si="22"/>
        <v>78.444000000000003</v>
      </c>
      <c r="Q68" s="393">
        <f t="shared" si="23"/>
        <v>75.744</v>
      </c>
      <c r="R68" s="393">
        <f t="shared" si="24"/>
        <v>81.25200000000001</v>
      </c>
      <c r="S68" s="393">
        <f t="shared" si="25"/>
        <v>80.90100000000001</v>
      </c>
      <c r="T68" s="393">
        <f t="shared" si="26"/>
        <v>79.848000000000013</v>
      </c>
      <c r="U68" s="413">
        <f t="shared" si="27"/>
        <v>79.848000000000013</v>
      </c>
    </row>
    <row r="69" spans="1:21">
      <c r="A69">
        <v>95</v>
      </c>
      <c r="B69">
        <v>63</v>
      </c>
      <c r="C69" t="s">
        <v>150</v>
      </c>
      <c r="D69" s="391">
        <f t="shared" si="17"/>
        <v>0</v>
      </c>
      <c r="E69" s="390">
        <v>0</v>
      </c>
      <c r="F69" s="400">
        <v>0</v>
      </c>
      <c r="G69" s="400">
        <v>0</v>
      </c>
      <c r="H69" s="400">
        <v>0</v>
      </c>
      <c r="I69" s="400">
        <v>0</v>
      </c>
      <c r="J69" s="400">
        <v>0</v>
      </c>
      <c r="K69" s="400">
        <v>0</v>
      </c>
      <c r="L69" s="400">
        <f t="shared" si="18"/>
        <v>0</v>
      </c>
      <c r="M69" s="413">
        <f t="shared" si="19"/>
        <v>0</v>
      </c>
      <c r="N69" s="413">
        <f t="shared" si="20"/>
        <v>0</v>
      </c>
      <c r="O69" s="393">
        <f t="shared" si="21"/>
        <v>0</v>
      </c>
      <c r="P69" s="393">
        <f t="shared" si="22"/>
        <v>0</v>
      </c>
      <c r="Q69" s="393">
        <f t="shared" si="23"/>
        <v>0</v>
      </c>
      <c r="R69" s="393">
        <f t="shared" si="24"/>
        <v>0</v>
      </c>
      <c r="S69" s="393">
        <f t="shared" si="25"/>
        <v>0</v>
      </c>
      <c r="T69" s="393">
        <f t="shared" si="26"/>
        <v>0</v>
      </c>
      <c r="U69" s="413">
        <f t="shared" si="27"/>
        <v>0</v>
      </c>
    </row>
    <row r="70" spans="1:21">
      <c r="A70">
        <v>343</v>
      </c>
      <c r="B70">
        <v>64</v>
      </c>
      <c r="C70" t="s">
        <v>97</v>
      </c>
      <c r="D70" s="391">
        <f t="shared" si="17"/>
        <v>140.65200000000002</v>
      </c>
      <c r="E70" s="390">
        <v>160.23338245273877</v>
      </c>
      <c r="F70" s="400">
        <v>156.16800000000001</v>
      </c>
      <c r="G70" s="400">
        <v>136.72799999999998</v>
      </c>
      <c r="H70" s="400">
        <v>140.65200000000002</v>
      </c>
      <c r="I70" s="400">
        <v>140.65200000000002</v>
      </c>
      <c r="J70" s="400">
        <v>140.65200000000002</v>
      </c>
      <c r="K70" s="400">
        <v>140.65200000000002</v>
      </c>
      <c r="L70" s="400">
        <f t="shared" si="18"/>
        <v>143.55000000000001</v>
      </c>
      <c r="M70" s="413">
        <f t="shared" si="19"/>
        <v>143.55000000000001</v>
      </c>
      <c r="N70" s="413">
        <f t="shared" si="20"/>
        <v>143.55000000000001</v>
      </c>
      <c r="O70" s="393">
        <f t="shared" si="21"/>
        <v>158.20069122636937</v>
      </c>
      <c r="P70" s="393">
        <f t="shared" si="22"/>
        <v>146.44799999999998</v>
      </c>
      <c r="Q70" s="393">
        <f t="shared" si="23"/>
        <v>138.69</v>
      </c>
      <c r="R70" s="393">
        <f t="shared" si="24"/>
        <v>140.65200000000002</v>
      </c>
      <c r="S70" s="393">
        <f t="shared" si="25"/>
        <v>141.37650000000002</v>
      </c>
      <c r="T70" s="393">
        <f t="shared" si="26"/>
        <v>143.55000000000001</v>
      </c>
      <c r="U70" s="413">
        <f t="shared" si="27"/>
        <v>143.55000000000001</v>
      </c>
    </row>
    <row r="71" spans="1:21">
      <c r="A71">
        <v>288</v>
      </c>
      <c r="B71">
        <v>65</v>
      </c>
      <c r="C71" t="s">
        <v>152</v>
      </c>
      <c r="D71" s="391">
        <f t="shared" ref="D71:D134" si="28">I71</f>
        <v>107.42400000000001</v>
      </c>
      <c r="E71" s="390">
        <v>134.82087725690374</v>
      </c>
      <c r="F71" s="400">
        <v>100.152</v>
      </c>
      <c r="G71" s="400">
        <v>124.848</v>
      </c>
      <c r="H71" s="400">
        <v>107.42400000000001</v>
      </c>
      <c r="I71" s="400">
        <v>107.42400000000001</v>
      </c>
      <c r="J71" s="400">
        <v>107.42400000000001</v>
      </c>
      <c r="K71" s="400">
        <v>107.42400000000001</v>
      </c>
      <c r="L71" s="400">
        <f t="shared" ref="L71:L134" si="29">AVERAGE(F71:I71)</f>
        <v>109.96199999999999</v>
      </c>
      <c r="M71" s="413">
        <f t="shared" ref="M71:M134" si="30">L71</f>
        <v>109.96199999999999</v>
      </c>
      <c r="N71" s="413">
        <f t="shared" ref="N71:N134" si="31">L71</f>
        <v>109.96199999999999</v>
      </c>
      <c r="O71" s="393">
        <f t="shared" ref="O71:O134" si="32">AVERAGE(E71:F71)</f>
        <v>117.48643862845188</v>
      </c>
      <c r="P71" s="393">
        <f t="shared" ref="P71:P134" si="33">AVERAGE(F71:G71)</f>
        <v>112.5</v>
      </c>
      <c r="Q71" s="393">
        <f t="shared" ref="Q71:Q134" si="34">AVERAGE(G71:H71)</f>
        <v>116.136</v>
      </c>
      <c r="R71" s="393">
        <f t="shared" ref="R71:R134" si="35">AVERAGE(H71:I71)</f>
        <v>107.42400000000001</v>
      </c>
      <c r="S71" s="393">
        <f t="shared" ref="S71:S134" si="36">AVERAGE(I71:L71)</f>
        <v>108.05850000000001</v>
      </c>
      <c r="T71" s="393">
        <f t="shared" si="26"/>
        <v>109.96199999999999</v>
      </c>
      <c r="U71" s="413">
        <f t="shared" si="27"/>
        <v>109.96199999999999</v>
      </c>
    </row>
    <row r="72" spans="1:21">
      <c r="A72">
        <v>283</v>
      </c>
      <c r="B72">
        <v>66</v>
      </c>
      <c r="C72" t="s">
        <v>153</v>
      </c>
      <c r="D72" s="391">
        <f t="shared" si="28"/>
        <v>100.764</v>
      </c>
      <c r="E72" s="390">
        <v>150.97692215083808</v>
      </c>
      <c r="F72" s="400">
        <v>154.44</v>
      </c>
      <c r="G72" s="400">
        <v>146.34</v>
      </c>
      <c r="H72" s="400">
        <v>100.764</v>
      </c>
      <c r="I72" s="400">
        <v>100.764</v>
      </c>
      <c r="J72" s="400">
        <v>100.764</v>
      </c>
      <c r="K72" s="400">
        <v>100.764</v>
      </c>
      <c r="L72" s="400">
        <f t="shared" si="29"/>
        <v>125.577</v>
      </c>
      <c r="M72" s="413">
        <f t="shared" si="30"/>
        <v>125.577</v>
      </c>
      <c r="N72" s="413">
        <f t="shared" si="31"/>
        <v>125.577</v>
      </c>
      <c r="O72" s="393">
        <f t="shared" si="32"/>
        <v>152.70846107541905</v>
      </c>
      <c r="P72" s="393">
        <f t="shared" si="33"/>
        <v>150.38999999999999</v>
      </c>
      <c r="Q72" s="393">
        <f t="shared" si="34"/>
        <v>123.55199999999999</v>
      </c>
      <c r="R72" s="393">
        <f t="shared" si="35"/>
        <v>100.764</v>
      </c>
      <c r="S72" s="393">
        <f t="shared" si="36"/>
        <v>106.96724999999999</v>
      </c>
      <c r="T72" s="393">
        <f t="shared" ref="T72:T135" si="37">N72</f>
        <v>125.577</v>
      </c>
      <c r="U72" s="413">
        <f t="shared" ref="U72:U135" si="38">N72</f>
        <v>125.577</v>
      </c>
    </row>
    <row r="73" spans="1:21">
      <c r="A73">
        <v>240</v>
      </c>
      <c r="B73">
        <v>67</v>
      </c>
      <c r="C73" t="s">
        <v>154</v>
      </c>
      <c r="D73" s="391">
        <f t="shared" si="28"/>
        <v>72.900000000000006</v>
      </c>
      <c r="E73" s="390">
        <v>70.704968720019352</v>
      </c>
      <c r="F73" s="400">
        <v>39.996000000000002</v>
      </c>
      <c r="G73" s="400">
        <v>45.972000000000001</v>
      </c>
      <c r="H73" s="400">
        <v>72.900000000000006</v>
      </c>
      <c r="I73" s="400">
        <v>72.900000000000006</v>
      </c>
      <c r="J73" s="400">
        <v>72.900000000000006</v>
      </c>
      <c r="K73" s="400">
        <v>72.900000000000006</v>
      </c>
      <c r="L73" s="400">
        <f t="shared" si="29"/>
        <v>57.942</v>
      </c>
      <c r="M73" s="413">
        <f t="shared" si="30"/>
        <v>57.942</v>
      </c>
      <c r="N73" s="413">
        <f t="shared" si="31"/>
        <v>57.942</v>
      </c>
      <c r="O73" s="393">
        <f t="shared" si="32"/>
        <v>55.350484360009673</v>
      </c>
      <c r="P73" s="393">
        <f t="shared" si="33"/>
        <v>42.984000000000002</v>
      </c>
      <c r="Q73" s="393">
        <f t="shared" si="34"/>
        <v>59.436000000000007</v>
      </c>
      <c r="R73" s="393">
        <f t="shared" si="35"/>
        <v>72.900000000000006</v>
      </c>
      <c r="S73" s="393">
        <f t="shared" si="36"/>
        <v>69.160499999999999</v>
      </c>
      <c r="T73" s="393">
        <f t="shared" si="37"/>
        <v>57.942</v>
      </c>
      <c r="U73" s="413">
        <f t="shared" si="38"/>
        <v>57.942</v>
      </c>
    </row>
    <row r="74" spans="1:21">
      <c r="A74">
        <v>289</v>
      </c>
      <c r="B74">
        <v>68</v>
      </c>
      <c r="C74" t="s">
        <v>155</v>
      </c>
      <c r="D74" s="391">
        <f t="shared" si="28"/>
        <v>0.50400000000000011</v>
      </c>
      <c r="E74" s="390">
        <v>0</v>
      </c>
      <c r="F74" s="400">
        <v>0</v>
      </c>
      <c r="G74" s="400">
        <v>0</v>
      </c>
      <c r="H74" s="400">
        <v>0.50400000000000011</v>
      </c>
      <c r="I74" s="400">
        <v>0.50400000000000011</v>
      </c>
      <c r="J74" s="400">
        <v>0.50400000000000011</v>
      </c>
      <c r="K74" s="400">
        <v>0.50400000000000011</v>
      </c>
      <c r="L74" s="400">
        <f t="shared" si="29"/>
        <v>0.25200000000000006</v>
      </c>
      <c r="M74" s="413">
        <f t="shared" si="30"/>
        <v>0.25200000000000006</v>
      </c>
      <c r="N74" s="413">
        <f t="shared" si="31"/>
        <v>0.25200000000000006</v>
      </c>
      <c r="O74" s="393">
        <f t="shared" si="32"/>
        <v>0</v>
      </c>
      <c r="P74" s="393">
        <f t="shared" si="33"/>
        <v>0</v>
      </c>
      <c r="Q74" s="393">
        <f t="shared" si="34"/>
        <v>0.25200000000000006</v>
      </c>
      <c r="R74" s="393">
        <f t="shared" si="35"/>
        <v>0.50400000000000011</v>
      </c>
      <c r="S74" s="393">
        <f t="shared" si="36"/>
        <v>0.44100000000000011</v>
      </c>
      <c r="T74" s="393">
        <f t="shared" si="37"/>
        <v>0.25200000000000006</v>
      </c>
      <c r="U74" s="413">
        <f t="shared" si="38"/>
        <v>0.25200000000000006</v>
      </c>
    </row>
    <row r="75" spans="1:21">
      <c r="A75">
        <v>12</v>
      </c>
      <c r="B75">
        <v>69</v>
      </c>
      <c r="C75" t="s">
        <v>9</v>
      </c>
      <c r="D75" s="391">
        <f t="shared" si="28"/>
        <v>8.9280000000000008</v>
      </c>
      <c r="E75" s="390">
        <v>8.2816277873979978</v>
      </c>
      <c r="F75" s="400">
        <v>6.6960000000000006</v>
      </c>
      <c r="G75" s="400">
        <v>11.16</v>
      </c>
      <c r="H75" s="400">
        <v>8.9280000000000008</v>
      </c>
      <c r="I75" s="400">
        <v>8.9280000000000008</v>
      </c>
      <c r="J75" s="400">
        <v>8.9280000000000008</v>
      </c>
      <c r="K75" s="400">
        <v>8.9280000000000008</v>
      </c>
      <c r="L75" s="400">
        <f t="shared" si="29"/>
        <v>8.9280000000000008</v>
      </c>
      <c r="M75" s="413">
        <f t="shared" si="30"/>
        <v>8.9280000000000008</v>
      </c>
      <c r="N75" s="413">
        <f t="shared" si="31"/>
        <v>8.9280000000000008</v>
      </c>
      <c r="O75" s="393">
        <f t="shared" si="32"/>
        <v>7.4888138936989996</v>
      </c>
      <c r="P75" s="393">
        <f t="shared" si="33"/>
        <v>8.9280000000000008</v>
      </c>
      <c r="Q75" s="393">
        <f t="shared" si="34"/>
        <v>10.044</v>
      </c>
      <c r="R75" s="393">
        <f t="shared" si="35"/>
        <v>8.9280000000000008</v>
      </c>
      <c r="S75" s="393">
        <f t="shared" si="36"/>
        <v>8.9280000000000008</v>
      </c>
      <c r="T75" s="393">
        <f t="shared" si="37"/>
        <v>8.9280000000000008</v>
      </c>
      <c r="U75" s="413">
        <f t="shared" si="38"/>
        <v>8.9280000000000008</v>
      </c>
    </row>
    <row r="76" spans="1:21">
      <c r="A76">
        <v>13</v>
      </c>
      <c r="B76">
        <v>70</v>
      </c>
      <c r="C76" t="s">
        <v>300</v>
      </c>
      <c r="D76" s="391">
        <f t="shared" si="28"/>
        <v>11.34</v>
      </c>
      <c r="E76" s="390">
        <v>4.6233887792848343</v>
      </c>
      <c r="F76" s="400">
        <v>10.872</v>
      </c>
      <c r="G76" s="400">
        <v>34.092000000000006</v>
      </c>
      <c r="H76" s="400">
        <v>11.34</v>
      </c>
      <c r="I76" s="400">
        <v>11.34</v>
      </c>
      <c r="J76" s="400">
        <v>11.34</v>
      </c>
      <c r="K76" s="400">
        <v>11.34</v>
      </c>
      <c r="L76" s="400">
        <f t="shared" si="29"/>
        <v>16.911000000000001</v>
      </c>
      <c r="M76" s="413">
        <f t="shared" si="30"/>
        <v>16.911000000000001</v>
      </c>
      <c r="N76" s="413">
        <f t="shared" si="31"/>
        <v>16.911000000000001</v>
      </c>
      <c r="O76" s="393">
        <f t="shared" si="32"/>
        <v>7.7476943896424171</v>
      </c>
      <c r="P76" s="393">
        <f t="shared" si="33"/>
        <v>22.482000000000003</v>
      </c>
      <c r="Q76" s="393">
        <f t="shared" si="34"/>
        <v>22.716000000000001</v>
      </c>
      <c r="R76" s="393">
        <f t="shared" si="35"/>
        <v>11.34</v>
      </c>
      <c r="S76" s="393">
        <f t="shared" si="36"/>
        <v>12.732749999999999</v>
      </c>
      <c r="T76" s="393">
        <f t="shared" si="37"/>
        <v>16.911000000000001</v>
      </c>
      <c r="U76" s="413">
        <f t="shared" si="38"/>
        <v>16.911000000000001</v>
      </c>
    </row>
    <row r="77" spans="1:21">
      <c r="A77">
        <v>409</v>
      </c>
      <c r="B77">
        <v>71</v>
      </c>
      <c r="C77" t="s">
        <v>156</v>
      </c>
      <c r="D77" s="391">
        <f t="shared" si="28"/>
        <v>0</v>
      </c>
      <c r="E77" s="390">
        <v>0</v>
      </c>
      <c r="F77" s="400">
        <v>0</v>
      </c>
      <c r="G77" s="400">
        <v>0</v>
      </c>
      <c r="H77" s="400">
        <v>0</v>
      </c>
      <c r="I77" s="400">
        <v>0</v>
      </c>
      <c r="J77" s="400">
        <v>0</v>
      </c>
      <c r="K77" s="400">
        <v>0</v>
      </c>
      <c r="L77" s="400">
        <f t="shared" si="29"/>
        <v>0</v>
      </c>
      <c r="M77" s="413">
        <f t="shared" si="30"/>
        <v>0</v>
      </c>
      <c r="N77" s="413">
        <f t="shared" si="31"/>
        <v>0</v>
      </c>
      <c r="O77" s="393">
        <f t="shared" si="32"/>
        <v>0</v>
      </c>
      <c r="P77" s="393">
        <f t="shared" si="33"/>
        <v>0</v>
      </c>
      <c r="Q77" s="393">
        <f t="shared" si="34"/>
        <v>0</v>
      </c>
      <c r="R77" s="393">
        <f t="shared" si="35"/>
        <v>0</v>
      </c>
      <c r="S77" s="393">
        <f t="shared" si="36"/>
        <v>0</v>
      </c>
      <c r="T77" s="393">
        <f t="shared" si="37"/>
        <v>0</v>
      </c>
      <c r="U77" s="413">
        <f t="shared" si="38"/>
        <v>0</v>
      </c>
    </row>
    <row r="78" spans="1:21">
      <c r="A78">
        <v>356</v>
      </c>
      <c r="B78">
        <v>72</v>
      </c>
      <c r="C78" t="s">
        <v>157</v>
      </c>
      <c r="D78" s="391">
        <f t="shared" si="28"/>
        <v>0</v>
      </c>
      <c r="E78" s="390">
        <v>0</v>
      </c>
      <c r="F78" s="400">
        <v>0</v>
      </c>
      <c r="G78" s="400">
        <v>0</v>
      </c>
      <c r="H78" s="400">
        <v>0</v>
      </c>
      <c r="I78" s="400">
        <v>0</v>
      </c>
      <c r="J78" s="400">
        <v>0</v>
      </c>
      <c r="K78" s="400">
        <v>0</v>
      </c>
      <c r="L78" s="400">
        <f t="shared" si="29"/>
        <v>0</v>
      </c>
      <c r="M78" s="413">
        <f t="shared" si="30"/>
        <v>0</v>
      </c>
      <c r="N78" s="413">
        <f t="shared" si="31"/>
        <v>0</v>
      </c>
      <c r="O78" s="393">
        <f t="shared" si="32"/>
        <v>0</v>
      </c>
      <c r="P78" s="393">
        <f t="shared" si="33"/>
        <v>0</v>
      </c>
      <c r="Q78" s="393">
        <f t="shared" si="34"/>
        <v>0</v>
      </c>
      <c r="R78" s="393">
        <f t="shared" si="35"/>
        <v>0</v>
      </c>
      <c r="S78" s="393">
        <f t="shared" si="36"/>
        <v>0</v>
      </c>
      <c r="T78" s="393">
        <f t="shared" si="37"/>
        <v>0</v>
      </c>
      <c r="U78" s="413">
        <f t="shared" si="38"/>
        <v>0</v>
      </c>
    </row>
    <row r="79" spans="1:21">
      <c r="A79">
        <v>235</v>
      </c>
      <c r="B79">
        <v>73</v>
      </c>
      <c r="C79" t="s">
        <v>565</v>
      </c>
      <c r="D79" s="391">
        <f t="shared" si="28"/>
        <v>0</v>
      </c>
      <c r="E79" s="390">
        <v>0</v>
      </c>
      <c r="F79" s="400">
        <v>0</v>
      </c>
      <c r="G79" s="400">
        <v>0</v>
      </c>
      <c r="H79" s="400">
        <v>0</v>
      </c>
      <c r="I79" s="400">
        <v>0</v>
      </c>
      <c r="J79" s="400">
        <v>0</v>
      </c>
      <c r="K79" s="400">
        <v>0</v>
      </c>
      <c r="L79" s="400">
        <f t="shared" si="29"/>
        <v>0</v>
      </c>
      <c r="M79" s="413">
        <f t="shared" si="30"/>
        <v>0</v>
      </c>
      <c r="N79" s="413">
        <f t="shared" si="31"/>
        <v>0</v>
      </c>
      <c r="O79" s="393">
        <f t="shared" si="32"/>
        <v>0</v>
      </c>
      <c r="P79" s="393">
        <f t="shared" si="33"/>
        <v>0</v>
      </c>
      <c r="Q79" s="393">
        <f t="shared" si="34"/>
        <v>0</v>
      </c>
      <c r="R79" s="393">
        <f t="shared" si="35"/>
        <v>0</v>
      </c>
      <c r="S79" s="393">
        <f t="shared" si="36"/>
        <v>0</v>
      </c>
      <c r="T79" s="393">
        <f t="shared" si="37"/>
        <v>0</v>
      </c>
      <c r="U79" s="413">
        <f t="shared" si="38"/>
        <v>0</v>
      </c>
    </row>
    <row r="80" spans="1:21">
      <c r="A80">
        <v>27</v>
      </c>
      <c r="B80">
        <v>74</v>
      </c>
      <c r="C80" t="s">
        <v>159</v>
      </c>
      <c r="D80" s="391">
        <f t="shared" si="28"/>
        <v>63.612000000000009</v>
      </c>
      <c r="E80" s="390">
        <v>199.37506209867763</v>
      </c>
      <c r="F80" s="400">
        <v>180</v>
      </c>
      <c r="G80" s="400">
        <v>193.32000000000002</v>
      </c>
      <c r="H80" s="400">
        <v>63.612000000000009</v>
      </c>
      <c r="I80" s="400">
        <v>63.612000000000009</v>
      </c>
      <c r="J80" s="400">
        <v>63.612000000000009</v>
      </c>
      <c r="K80" s="400">
        <v>63.612000000000009</v>
      </c>
      <c r="L80" s="400">
        <f t="shared" si="29"/>
        <v>125.13600000000002</v>
      </c>
      <c r="M80" s="413">
        <f t="shared" si="30"/>
        <v>125.13600000000002</v>
      </c>
      <c r="N80" s="413">
        <f t="shared" si="31"/>
        <v>125.13600000000002</v>
      </c>
      <c r="O80" s="393">
        <f t="shared" si="32"/>
        <v>189.68753104933882</v>
      </c>
      <c r="P80" s="393">
        <f t="shared" si="33"/>
        <v>186.66000000000003</v>
      </c>
      <c r="Q80" s="393">
        <f t="shared" si="34"/>
        <v>128.46600000000001</v>
      </c>
      <c r="R80" s="393">
        <f t="shared" si="35"/>
        <v>63.612000000000009</v>
      </c>
      <c r="S80" s="393">
        <f t="shared" si="36"/>
        <v>78.993000000000009</v>
      </c>
      <c r="T80" s="393">
        <f t="shared" si="37"/>
        <v>125.13600000000002</v>
      </c>
      <c r="U80" s="413">
        <f t="shared" si="38"/>
        <v>125.13600000000002</v>
      </c>
    </row>
    <row r="81" spans="1:21">
      <c r="A81">
        <v>456</v>
      </c>
      <c r="B81">
        <v>75</v>
      </c>
      <c r="C81" t="s">
        <v>160</v>
      </c>
      <c r="D81" s="391">
        <f t="shared" si="28"/>
        <v>0</v>
      </c>
      <c r="E81" s="390">
        <v>4.7740527452702561E-2</v>
      </c>
      <c r="F81" s="400">
        <v>0</v>
      </c>
      <c r="G81" s="400">
        <v>0</v>
      </c>
      <c r="H81" s="400">
        <v>0</v>
      </c>
      <c r="I81" s="400">
        <v>0</v>
      </c>
      <c r="J81" s="400">
        <v>0</v>
      </c>
      <c r="K81" s="400">
        <v>0</v>
      </c>
      <c r="L81" s="400">
        <f t="shared" si="29"/>
        <v>0</v>
      </c>
      <c r="M81" s="413">
        <f t="shared" si="30"/>
        <v>0</v>
      </c>
      <c r="N81" s="413">
        <f t="shared" si="31"/>
        <v>0</v>
      </c>
      <c r="O81" s="393">
        <f t="shared" si="32"/>
        <v>2.387026372635128E-2</v>
      </c>
      <c r="P81" s="393">
        <f t="shared" si="33"/>
        <v>0</v>
      </c>
      <c r="Q81" s="393">
        <f t="shared" si="34"/>
        <v>0</v>
      </c>
      <c r="R81" s="393">
        <f t="shared" si="35"/>
        <v>0</v>
      </c>
      <c r="S81" s="393">
        <f t="shared" si="36"/>
        <v>0</v>
      </c>
      <c r="T81" s="393">
        <f t="shared" si="37"/>
        <v>0</v>
      </c>
      <c r="U81" s="413">
        <f t="shared" si="38"/>
        <v>0</v>
      </c>
    </row>
    <row r="82" spans="1:21">
      <c r="A82" t="e">
        <v>#N/A</v>
      </c>
      <c r="B82">
        <v>76</v>
      </c>
      <c r="C82" t="s">
        <v>161</v>
      </c>
      <c r="D82" s="391">
        <f t="shared" si="28"/>
        <v>0.216</v>
      </c>
      <c r="E82" s="390">
        <v>1.2626930949761093</v>
      </c>
      <c r="F82" s="400">
        <v>0.64800000000000002</v>
      </c>
      <c r="G82" s="400">
        <v>1.476</v>
      </c>
      <c r="H82" s="400">
        <v>0.216</v>
      </c>
      <c r="I82" s="400">
        <v>0.216</v>
      </c>
      <c r="J82" s="400">
        <v>0.216</v>
      </c>
      <c r="K82" s="400">
        <v>0.216</v>
      </c>
      <c r="L82" s="400">
        <f t="shared" si="29"/>
        <v>0.63900000000000012</v>
      </c>
      <c r="M82" s="413">
        <f t="shared" si="30"/>
        <v>0.63900000000000012</v>
      </c>
      <c r="N82" s="413">
        <f t="shared" si="31"/>
        <v>0.63900000000000012</v>
      </c>
      <c r="O82" s="393">
        <f t="shared" si="32"/>
        <v>0.9553465474880547</v>
      </c>
      <c r="P82" s="393">
        <f t="shared" si="33"/>
        <v>1.0620000000000001</v>
      </c>
      <c r="Q82" s="393">
        <f t="shared" si="34"/>
        <v>0.84599999999999997</v>
      </c>
      <c r="R82" s="393">
        <f t="shared" si="35"/>
        <v>0.216</v>
      </c>
      <c r="S82" s="393">
        <f t="shared" si="36"/>
        <v>0.32175000000000004</v>
      </c>
      <c r="T82" s="393">
        <f t="shared" si="37"/>
        <v>0.63900000000000012</v>
      </c>
      <c r="U82" s="413">
        <f t="shared" si="38"/>
        <v>0.63900000000000012</v>
      </c>
    </row>
    <row r="83" spans="1:21">
      <c r="A83">
        <v>76</v>
      </c>
      <c r="B83">
        <v>77</v>
      </c>
      <c r="C83" t="s">
        <v>162</v>
      </c>
      <c r="D83" s="391">
        <f t="shared" si="28"/>
        <v>0</v>
      </c>
      <c r="E83" s="390">
        <v>0</v>
      </c>
      <c r="F83" s="400">
        <v>0</v>
      </c>
      <c r="G83" s="400">
        <v>0</v>
      </c>
      <c r="H83" s="400">
        <v>0</v>
      </c>
      <c r="I83" s="400">
        <v>0</v>
      </c>
      <c r="J83" s="400">
        <v>0</v>
      </c>
      <c r="K83" s="400">
        <v>0</v>
      </c>
      <c r="L83" s="400">
        <f t="shared" si="29"/>
        <v>0</v>
      </c>
      <c r="M83" s="413">
        <f t="shared" si="30"/>
        <v>0</v>
      </c>
      <c r="N83" s="413">
        <f t="shared" si="31"/>
        <v>0</v>
      </c>
      <c r="O83" s="393">
        <f t="shared" si="32"/>
        <v>0</v>
      </c>
      <c r="P83" s="393">
        <f t="shared" si="33"/>
        <v>0</v>
      </c>
      <c r="Q83" s="393">
        <f t="shared" si="34"/>
        <v>0</v>
      </c>
      <c r="R83" s="393">
        <f t="shared" si="35"/>
        <v>0</v>
      </c>
      <c r="S83" s="393">
        <f t="shared" si="36"/>
        <v>0</v>
      </c>
      <c r="T83" s="393">
        <f t="shared" si="37"/>
        <v>0</v>
      </c>
      <c r="U83" s="413">
        <f t="shared" si="38"/>
        <v>0</v>
      </c>
    </row>
    <row r="84" spans="1:21">
      <c r="A84">
        <v>199</v>
      </c>
      <c r="B84">
        <v>78</v>
      </c>
      <c r="C84" t="s">
        <v>163</v>
      </c>
      <c r="D84" s="391">
        <f t="shared" si="28"/>
        <v>1.9800000000000002</v>
      </c>
      <c r="E84" s="390">
        <v>7.2063955603151344</v>
      </c>
      <c r="F84" s="400">
        <v>3.6360000000000001</v>
      </c>
      <c r="G84" s="400">
        <v>1.764</v>
      </c>
      <c r="H84" s="400">
        <v>1.9800000000000002</v>
      </c>
      <c r="I84" s="400">
        <v>1.9800000000000002</v>
      </c>
      <c r="J84" s="400">
        <v>1.9800000000000002</v>
      </c>
      <c r="K84" s="400">
        <v>1.9800000000000002</v>
      </c>
      <c r="L84" s="400">
        <f t="shared" si="29"/>
        <v>2.3400000000000003</v>
      </c>
      <c r="M84" s="413">
        <f t="shared" si="30"/>
        <v>2.3400000000000003</v>
      </c>
      <c r="N84" s="413">
        <f t="shared" si="31"/>
        <v>2.3400000000000003</v>
      </c>
      <c r="O84" s="393">
        <f t="shared" si="32"/>
        <v>5.4211977801575673</v>
      </c>
      <c r="P84" s="393">
        <f t="shared" si="33"/>
        <v>2.7</v>
      </c>
      <c r="Q84" s="393">
        <f t="shared" si="34"/>
        <v>1.8720000000000001</v>
      </c>
      <c r="R84" s="393">
        <f t="shared" si="35"/>
        <v>1.9800000000000002</v>
      </c>
      <c r="S84" s="393">
        <f t="shared" si="36"/>
        <v>2.0700000000000003</v>
      </c>
      <c r="T84" s="393">
        <f t="shared" si="37"/>
        <v>2.3400000000000003</v>
      </c>
      <c r="U84" s="413">
        <f t="shared" si="38"/>
        <v>2.3400000000000003</v>
      </c>
    </row>
    <row r="85" spans="1:21">
      <c r="A85">
        <v>373</v>
      </c>
      <c r="B85">
        <v>79</v>
      </c>
      <c r="C85" t="s">
        <v>164</v>
      </c>
      <c r="D85" s="391">
        <f t="shared" si="28"/>
        <v>5.7240000000000002</v>
      </c>
      <c r="E85" s="390">
        <v>212.60712018567725</v>
      </c>
      <c r="F85" s="400">
        <v>206.928</v>
      </c>
      <c r="G85" s="400">
        <v>27.252000000000002</v>
      </c>
      <c r="H85" s="400">
        <v>5.7240000000000002</v>
      </c>
      <c r="I85" s="400">
        <v>5.7240000000000002</v>
      </c>
      <c r="J85" s="400">
        <v>5.7240000000000002</v>
      </c>
      <c r="K85" s="400">
        <v>5.7240000000000002</v>
      </c>
      <c r="L85" s="400">
        <f t="shared" si="29"/>
        <v>61.406999999999996</v>
      </c>
      <c r="M85" s="413">
        <f t="shared" si="30"/>
        <v>61.406999999999996</v>
      </c>
      <c r="N85" s="413">
        <f t="shared" si="31"/>
        <v>61.406999999999996</v>
      </c>
      <c r="O85" s="393">
        <f t="shared" si="32"/>
        <v>209.76756009283861</v>
      </c>
      <c r="P85" s="393">
        <f t="shared" si="33"/>
        <v>117.09</v>
      </c>
      <c r="Q85" s="393">
        <f t="shared" si="34"/>
        <v>16.488</v>
      </c>
      <c r="R85" s="393">
        <f t="shared" si="35"/>
        <v>5.7240000000000002</v>
      </c>
      <c r="S85" s="393">
        <f t="shared" si="36"/>
        <v>19.644749999999998</v>
      </c>
      <c r="T85" s="393">
        <f t="shared" si="37"/>
        <v>61.406999999999996</v>
      </c>
      <c r="U85" s="413">
        <f t="shared" si="38"/>
        <v>61.406999999999996</v>
      </c>
    </row>
    <row r="86" spans="1:21">
      <c r="A86">
        <v>64</v>
      </c>
      <c r="B86">
        <v>80</v>
      </c>
      <c r="C86" t="s">
        <v>165</v>
      </c>
      <c r="D86" s="391">
        <f t="shared" si="28"/>
        <v>4.1040000000000001</v>
      </c>
      <c r="E86" s="390">
        <v>10.092824237723548</v>
      </c>
      <c r="F86" s="400">
        <v>0.97200000000000009</v>
      </c>
      <c r="G86" s="400">
        <v>7.1280000000000001</v>
      </c>
      <c r="H86" s="400">
        <v>4.1040000000000001</v>
      </c>
      <c r="I86" s="400">
        <v>4.1040000000000001</v>
      </c>
      <c r="J86" s="400">
        <v>4.1040000000000001</v>
      </c>
      <c r="K86" s="400">
        <v>4.1040000000000001</v>
      </c>
      <c r="L86" s="400">
        <f t="shared" si="29"/>
        <v>4.077</v>
      </c>
      <c r="M86" s="413">
        <f t="shared" si="30"/>
        <v>4.077</v>
      </c>
      <c r="N86" s="413">
        <f t="shared" si="31"/>
        <v>4.077</v>
      </c>
      <c r="O86" s="393">
        <f t="shared" si="32"/>
        <v>5.5324121188617736</v>
      </c>
      <c r="P86" s="393">
        <f t="shared" si="33"/>
        <v>4.05</v>
      </c>
      <c r="Q86" s="393">
        <f t="shared" si="34"/>
        <v>5.6159999999999997</v>
      </c>
      <c r="R86" s="393">
        <f t="shared" si="35"/>
        <v>4.1040000000000001</v>
      </c>
      <c r="S86" s="393">
        <f t="shared" si="36"/>
        <v>4.0972500000000007</v>
      </c>
      <c r="T86" s="393">
        <f t="shared" si="37"/>
        <v>4.077</v>
      </c>
      <c r="U86" s="413">
        <f t="shared" si="38"/>
        <v>4.077</v>
      </c>
    </row>
    <row r="87" spans="1:21">
      <c r="A87">
        <v>271</v>
      </c>
      <c r="B87">
        <v>81</v>
      </c>
      <c r="C87" t="s">
        <v>168</v>
      </c>
      <c r="D87" s="391">
        <f t="shared" si="28"/>
        <v>0</v>
      </c>
      <c r="E87" s="390">
        <v>0</v>
      </c>
      <c r="F87" s="400">
        <v>0</v>
      </c>
      <c r="G87" s="400">
        <v>0</v>
      </c>
      <c r="H87" s="400">
        <v>0</v>
      </c>
      <c r="I87" s="400">
        <v>0</v>
      </c>
      <c r="J87" s="400">
        <v>0</v>
      </c>
      <c r="K87" s="400">
        <v>0</v>
      </c>
      <c r="L87" s="400">
        <f t="shared" si="29"/>
        <v>0</v>
      </c>
      <c r="M87" s="413">
        <f t="shared" si="30"/>
        <v>0</v>
      </c>
      <c r="N87" s="413">
        <f t="shared" si="31"/>
        <v>0</v>
      </c>
      <c r="O87" s="393">
        <f t="shared" si="32"/>
        <v>0</v>
      </c>
      <c r="P87" s="393">
        <f t="shared" si="33"/>
        <v>0</v>
      </c>
      <c r="Q87" s="393">
        <f t="shared" si="34"/>
        <v>0</v>
      </c>
      <c r="R87" s="393">
        <f t="shared" si="35"/>
        <v>0</v>
      </c>
      <c r="S87" s="393">
        <f t="shared" si="36"/>
        <v>0</v>
      </c>
      <c r="T87" s="393">
        <f t="shared" si="37"/>
        <v>0</v>
      </c>
      <c r="U87" s="413">
        <f t="shared" si="38"/>
        <v>0</v>
      </c>
    </row>
    <row r="88" spans="1:21">
      <c r="A88">
        <v>347</v>
      </c>
      <c r="B88">
        <v>82</v>
      </c>
      <c r="C88" t="s">
        <v>169</v>
      </c>
      <c r="D88" s="391">
        <f t="shared" si="28"/>
        <v>20.123999999999999</v>
      </c>
      <c r="E88" s="390">
        <v>14.580764119015232</v>
      </c>
      <c r="F88" s="400">
        <v>11.484</v>
      </c>
      <c r="G88" s="400">
        <v>19.943999999999999</v>
      </c>
      <c r="H88" s="400">
        <v>20.123999999999999</v>
      </c>
      <c r="I88" s="400">
        <v>20.123999999999999</v>
      </c>
      <c r="J88" s="400">
        <v>20.123999999999999</v>
      </c>
      <c r="K88" s="400">
        <v>20.123999999999999</v>
      </c>
      <c r="L88" s="400">
        <f t="shared" si="29"/>
        <v>17.918999999999997</v>
      </c>
      <c r="M88" s="413">
        <f t="shared" si="30"/>
        <v>17.918999999999997</v>
      </c>
      <c r="N88" s="413">
        <f t="shared" si="31"/>
        <v>17.918999999999997</v>
      </c>
      <c r="O88" s="393">
        <f t="shared" si="32"/>
        <v>13.032382059507615</v>
      </c>
      <c r="P88" s="393">
        <f t="shared" si="33"/>
        <v>15.713999999999999</v>
      </c>
      <c r="Q88" s="393">
        <f t="shared" si="34"/>
        <v>20.033999999999999</v>
      </c>
      <c r="R88" s="393">
        <f t="shared" si="35"/>
        <v>20.123999999999999</v>
      </c>
      <c r="S88" s="393">
        <f t="shared" si="36"/>
        <v>19.572749999999999</v>
      </c>
      <c r="T88" s="393">
        <f t="shared" si="37"/>
        <v>17.918999999999997</v>
      </c>
      <c r="U88" s="413">
        <f t="shared" si="38"/>
        <v>17.918999999999997</v>
      </c>
    </row>
    <row r="89" spans="1:21">
      <c r="A89">
        <v>397</v>
      </c>
      <c r="B89">
        <v>83</v>
      </c>
      <c r="C89" t="s">
        <v>170</v>
      </c>
      <c r="D89" s="391">
        <f t="shared" si="28"/>
        <v>0</v>
      </c>
      <c r="E89" s="390">
        <v>3.6233669082143857E-2</v>
      </c>
      <c r="F89" s="400">
        <v>0</v>
      </c>
      <c r="G89" s="400">
        <v>0</v>
      </c>
      <c r="H89" s="400">
        <v>0</v>
      </c>
      <c r="I89" s="400">
        <v>0</v>
      </c>
      <c r="J89" s="400">
        <v>0</v>
      </c>
      <c r="K89" s="400">
        <v>0</v>
      </c>
      <c r="L89" s="400">
        <f t="shared" si="29"/>
        <v>0</v>
      </c>
      <c r="M89" s="413">
        <f t="shared" si="30"/>
        <v>0</v>
      </c>
      <c r="N89" s="413">
        <f t="shared" si="31"/>
        <v>0</v>
      </c>
      <c r="O89" s="393">
        <f t="shared" si="32"/>
        <v>1.8116834541071929E-2</v>
      </c>
      <c r="P89" s="393">
        <f t="shared" si="33"/>
        <v>0</v>
      </c>
      <c r="Q89" s="393">
        <f t="shared" si="34"/>
        <v>0</v>
      </c>
      <c r="R89" s="393">
        <f t="shared" si="35"/>
        <v>0</v>
      </c>
      <c r="S89" s="393">
        <f t="shared" si="36"/>
        <v>0</v>
      </c>
      <c r="T89" s="393">
        <f t="shared" si="37"/>
        <v>0</v>
      </c>
      <c r="U89" s="413">
        <f t="shared" si="38"/>
        <v>0</v>
      </c>
    </row>
    <row r="90" spans="1:21">
      <c r="A90">
        <v>14</v>
      </c>
      <c r="B90">
        <v>84</v>
      </c>
      <c r="C90" t="s">
        <v>517</v>
      </c>
      <c r="D90" s="391">
        <f t="shared" si="28"/>
        <v>3.3480000000000003</v>
      </c>
      <c r="E90" s="390">
        <v>5.5968322480620154</v>
      </c>
      <c r="F90" s="400">
        <v>5.8679999999999994</v>
      </c>
      <c r="G90" s="400">
        <v>2.3040000000000003</v>
      </c>
      <c r="H90" s="400">
        <v>3.3480000000000003</v>
      </c>
      <c r="I90" s="400">
        <v>3.3480000000000003</v>
      </c>
      <c r="J90" s="400">
        <v>3.3480000000000003</v>
      </c>
      <c r="K90" s="400">
        <v>3.3480000000000003</v>
      </c>
      <c r="L90" s="400">
        <f t="shared" si="29"/>
        <v>3.7170000000000005</v>
      </c>
      <c r="M90" s="413">
        <f t="shared" si="30"/>
        <v>3.7170000000000005</v>
      </c>
      <c r="N90" s="413">
        <f t="shared" si="31"/>
        <v>3.7170000000000005</v>
      </c>
      <c r="O90" s="393">
        <f t="shared" si="32"/>
        <v>5.7324161240310074</v>
      </c>
      <c r="P90" s="393">
        <f t="shared" si="33"/>
        <v>4.0860000000000003</v>
      </c>
      <c r="Q90" s="393">
        <f t="shared" si="34"/>
        <v>2.8260000000000005</v>
      </c>
      <c r="R90" s="393">
        <f t="shared" si="35"/>
        <v>3.3480000000000003</v>
      </c>
      <c r="S90" s="393">
        <f t="shared" si="36"/>
        <v>3.4402500000000003</v>
      </c>
      <c r="T90" s="393">
        <f t="shared" si="37"/>
        <v>3.7170000000000005</v>
      </c>
      <c r="U90" s="413">
        <f t="shared" si="38"/>
        <v>3.7170000000000005</v>
      </c>
    </row>
    <row r="91" spans="1:21">
      <c r="A91">
        <v>145</v>
      </c>
      <c r="B91">
        <v>85</v>
      </c>
      <c r="C91" t="s">
        <v>171</v>
      </c>
      <c r="D91" s="391">
        <f t="shared" si="28"/>
        <v>24.66</v>
      </c>
      <c r="E91" s="390">
        <v>10.554904395614843</v>
      </c>
      <c r="F91" s="400">
        <v>5.976</v>
      </c>
      <c r="G91" s="400">
        <v>13.536</v>
      </c>
      <c r="H91" s="400">
        <v>24.66</v>
      </c>
      <c r="I91" s="400">
        <v>24.66</v>
      </c>
      <c r="J91" s="400">
        <v>24.66</v>
      </c>
      <c r="K91" s="400">
        <v>24.66</v>
      </c>
      <c r="L91" s="400">
        <f t="shared" si="29"/>
        <v>17.207999999999998</v>
      </c>
      <c r="M91" s="413">
        <f t="shared" si="30"/>
        <v>17.207999999999998</v>
      </c>
      <c r="N91" s="413">
        <f t="shared" si="31"/>
        <v>17.207999999999998</v>
      </c>
      <c r="O91" s="393">
        <f t="shared" si="32"/>
        <v>8.2654521978074218</v>
      </c>
      <c r="P91" s="393">
        <f t="shared" si="33"/>
        <v>9.7560000000000002</v>
      </c>
      <c r="Q91" s="393">
        <f t="shared" si="34"/>
        <v>19.097999999999999</v>
      </c>
      <c r="R91" s="393">
        <f t="shared" si="35"/>
        <v>24.66</v>
      </c>
      <c r="S91" s="393">
        <f t="shared" si="36"/>
        <v>22.797000000000001</v>
      </c>
      <c r="T91" s="393">
        <f t="shared" si="37"/>
        <v>17.207999999999998</v>
      </c>
      <c r="U91" s="413">
        <f t="shared" si="38"/>
        <v>17.207999999999998</v>
      </c>
    </row>
    <row r="92" spans="1:21">
      <c r="A92">
        <v>215</v>
      </c>
      <c r="B92">
        <v>86</v>
      </c>
      <c r="C92" t="s">
        <v>21</v>
      </c>
      <c r="D92" s="391">
        <f t="shared" si="28"/>
        <v>83.087999999999994</v>
      </c>
      <c r="E92" s="390">
        <v>62.142829695222403</v>
      </c>
      <c r="F92" s="400">
        <v>48.816000000000003</v>
      </c>
      <c r="G92" s="400">
        <v>57.384</v>
      </c>
      <c r="H92" s="400">
        <v>83.087999999999994</v>
      </c>
      <c r="I92" s="400">
        <v>83.087999999999994</v>
      </c>
      <c r="J92" s="400">
        <v>83.087999999999994</v>
      </c>
      <c r="K92" s="400">
        <v>83.087999999999994</v>
      </c>
      <c r="L92" s="400">
        <f t="shared" si="29"/>
        <v>68.093999999999994</v>
      </c>
      <c r="M92" s="413">
        <f t="shared" si="30"/>
        <v>68.093999999999994</v>
      </c>
      <c r="N92" s="413">
        <f t="shared" si="31"/>
        <v>68.093999999999994</v>
      </c>
      <c r="O92" s="393">
        <f t="shared" si="32"/>
        <v>55.479414847611203</v>
      </c>
      <c r="P92" s="393">
        <f t="shared" si="33"/>
        <v>53.1</v>
      </c>
      <c r="Q92" s="393">
        <f t="shared" si="34"/>
        <v>70.23599999999999</v>
      </c>
      <c r="R92" s="393">
        <f t="shared" si="35"/>
        <v>83.087999999999994</v>
      </c>
      <c r="S92" s="393">
        <f t="shared" si="36"/>
        <v>79.339499999999987</v>
      </c>
      <c r="T92" s="393">
        <f t="shared" si="37"/>
        <v>68.093999999999994</v>
      </c>
      <c r="U92" s="413">
        <f t="shared" si="38"/>
        <v>68.093999999999994</v>
      </c>
    </row>
    <row r="93" spans="1:21">
      <c r="A93">
        <v>448</v>
      </c>
      <c r="B93">
        <v>87</v>
      </c>
      <c r="C93" t="s">
        <v>554</v>
      </c>
      <c r="D93" s="391">
        <f t="shared" si="28"/>
        <v>20.448</v>
      </c>
      <c r="E93" s="390">
        <v>17.345968337909031</v>
      </c>
      <c r="F93" s="400">
        <v>11.016</v>
      </c>
      <c r="G93" s="400">
        <v>12.888</v>
      </c>
      <c r="H93" s="400">
        <v>20.448</v>
      </c>
      <c r="I93" s="400">
        <v>20.448</v>
      </c>
      <c r="J93" s="400">
        <v>20.448</v>
      </c>
      <c r="K93" s="400">
        <v>20.448</v>
      </c>
      <c r="L93" s="400">
        <f t="shared" si="29"/>
        <v>16.200000000000003</v>
      </c>
      <c r="M93" s="413">
        <f t="shared" si="30"/>
        <v>16.200000000000003</v>
      </c>
      <c r="N93" s="413">
        <f t="shared" si="31"/>
        <v>16.200000000000003</v>
      </c>
      <c r="O93" s="393">
        <f t="shared" si="32"/>
        <v>14.180984168954517</v>
      </c>
      <c r="P93" s="393">
        <f t="shared" si="33"/>
        <v>11.952</v>
      </c>
      <c r="Q93" s="393">
        <f t="shared" si="34"/>
        <v>16.667999999999999</v>
      </c>
      <c r="R93" s="393">
        <f t="shared" si="35"/>
        <v>20.448</v>
      </c>
      <c r="S93" s="393">
        <f t="shared" si="36"/>
        <v>19.386000000000003</v>
      </c>
      <c r="T93" s="393">
        <f t="shared" si="37"/>
        <v>16.200000000000003</v>
      </c>
      <c r="U93" s="413">
        <f t="shared" si="38"/>
        <v>16.200000000000003</v>
      </c>
    </row>
    <row r="94" spans="1:21">
      <c r="A94">
        <v>351</v>
      </c>
      <c r="B94">
        <v>88</v>
      </c>
      <c r="C94" t="s">
        <v>139</v>
      </c>
      <c r="D94" s="391">
        <f t="shared" si="28"/>
        <v>3.024</v>
      </c>
      <c r="E94" s="390">
        <v>6.7335163371569724</v>
      </c>
      <c r="F94" s="400">
        <v>5.04</v>
      </c>
      <c r="G94" s="400">
        <v>0.216</v>
      </c>
      <c r="H94" s="400">
        <v>3.024</v>
      </c>
      <c r="I94" s="400">
        <v>3.024</v>
      </c>
      <c r="J94" s="400">
        <v>3.024</v>
      </c>
      <c r="K94" s="400">
        <v>3.024</v>
      </c>
      <c r="L94" s="400">
        <f t="shared" si="29"/>
        <v>2.8260000000000005</v>
      </c>
      <c r="M94" s="413">
        <f t="shared" si="30"/>
        <v>2.8260000000000005</v>
      </c>
      <c r="N94" s="413">
        <f t="shared" si="31"/>
        <v>2.8260000000000005</v>
      </c>
      <c r="O94" s="393">
        <f t="shared" si="32"/>
        <v>5.8867581685784867</v>
      </c>
      <c r="P94" s="393">
        <f t="shared" si="33"/>
        <v>2.6280000000000001</v>
      </c>
      <c r="Q94" s="393">
        <f t="shared" si="34"/>
        <v>1.62</v>
      </c>
      <c r="R94" s="393">
        <f t="shared" si="35"/>
        <v>3.024</v>
      </c>
      <c r="S94" s="393">
        <f t="shared" si="36"/>
        <v>2.9744999999999999</v>
      </c>
      <c r="T94" s="393">
        <f t="shared" si="37"/>
        <v>2.8260000000000005</v>
      </c>
      <c r="U94" s="413">
        <f t="shared" si="38"/>
        <v>2.8260000000000005</v>
      </c>
    </row>
    <row r="95" spans="1:21">
      <c r="A95">
        <v>416</v>
      </c>
      <c r="B95">
        <v>89</v>
      </c>
      <c r="C95" t="s">
        <v>172</v>
      </c>
      <c r="D95" s="391">
        <f t="shared" si="28"/>
        <v>146.988</v>
      </c>
      <c r="E95" s="390">
        <v>187.22578978723399</v>
      </c>
      <c r="F95" s="400">
        <v>173.55600000000001</v>
      </c>
      <c r="G95" s="400">
        <v>171.36</v>
      </c>
      <c r="H95" s="400">
        <v>146.988</v>
      </c>
      <c r="I95" s="400">
        <v>146.988</v>
      </c>
      <c r="J95" s="400">
        <v>146.988</v>
      </c>
      <c r="K95" s="400">
        <v>146.988</v>
      </c>
      <c r="L95" s="400">
        <f t="shared" si="29"/>
        <v>159.72300000000001</v>
      </c>
      <c r="M95" s="413">
        <f t="shared" si="30"/>
        <v>159.72300000000001</v>
      </c>
      <c r="N95" s="413">
        <f t="shared" si="31"/>
        <v>159.72300000000001</v>
      </c>
      <c r="O95" s="393">
        <f t="shared" si="32"/>
        <v>180.390894893617</v>
      </c>
      <c r="P95" s="393">
        <f t="shared" si="33"/>
        <v>172.45800000000003</v>
      </c>
      <c r="Q95" s="393">
        <f t="shared" si="34"/>
        <v>159.17400000000001</v>
      </c>
      <c r="R95" s="393">
        <f t="shared" si="35"/>
        <v>146.988</v>
      </c>
      <c r="S95" s="393">
        <f t="shared" si="36"/>
        <v>150.17175</v>
      </c>
      <c r="T95" s="393">
        <f t="shared" si="37"/>
        <v>159.72300000000001</v>
      </c>
      <c r="U95" s="413">
        <f t="shared" si="38"/>
        <v>159.72300000000001</v>
      </c>
    </row>
    <row r="96" spans="1:21">
      <c r="A96">
        <v>77</v>
      </c>
      <c r="B96">
        <v>90</v>
      </c>
      <c r="C96" t="s">
        <v>173</v>
      </c>
      <c r="D96" s="391">
        <f t="shared" si="28"/>
        <v>55.908000000000001</v>
      </c>
      <c r="E96" s="390">
        <v>76.537403679458947</v>
      </c>
      <c r="F96" s="400">
        <v>98.532000000000011</v>
      </c>
      <c r="G96" s="400">
        <v>61.991999999999997</v>
      </c>
      <c r="H96" s="400">
        <v>55.908000000000001</v>
      </c>
      <c r="I96" s="400">
        <v>55.908000000000001</v>
      </c>
      <c r="J96" s="400">
        <v>55.908000000000001</v>
      </c>
      <c r="K96" s="400">
        <v>55.908000000000001</v>
      </c>
      <c r="L96" s="400">
        <f t="shared" si="29"/>
        <v>68.085000000000008</v>
      </c>
      <c r="M96" s="413">
        <f t="shared" si="30"/>
        <v>68.085000000000008</v>
      </c>
      <c r="N96" s="413">
        <f t="shared" si="31"/>
        <v>68.085000000000008</v>
      </c>
      <c r="O96" s="393">
        <f t="shared" si="32"/>
        <v>87.534701839729479</v>
      </c>
      <c r="P96" s="393">
        <f t="shared" si="33"/>
        <v>80.262</v>
      </c>
      <c r="Q96" s="393">
        <f t="shared" si="34"/>
        <v>58.95</v>
      </c>
      <c r="R96" s="393">
        <f t="shared" si="35"/>
        <v>55.908000000000001</v>
      </c>
      <c r="S96" s="393">
        <f t="shared" si="36"/>
        <v>58.952249999999999</v>
      </c>
      <c r="T96" s="393">
        <f t="shared" si="37"/>
        <v>68.085000000000008</v>
      </c>
      <c r="U96" s="413">
        <f t="shared" si="38"/>
        <v>68.085000000000008</v>
      </c>
    </row>
    <row r="97" spans="1:21">
      <c r="A97">
        <v>360</v>
      </c>
      <c r="B97">
        <v>91</v>
      </c>
      <c r="C97" t="s">
        <v>174</v>
      </c>
      <c r="D97" s="391">
        <f t="shared" si="28"/>
        <v>3.24</v>
      </c>
      <c r="E97" s="390">
        <v>93.934032117856631</v>
      </c>
      <c r="F97" s="400">
        <v>3.3839999999999999</v>
      </c>
      <c r="G97" s="400">
        <v>1.1520000000000001</v>
      </c>
      <c r="H97" s="400">
        <v>3.24</v>
      </c>
      <c r="I97" s="400">
        <v>3.24</v>
      </c>
      <c r="J97" s="400">
        <v>3.24</v>
      </c>
      <c r="K97" s="400">
        <v>3.24</v>
      </c>
      <c r="L97" s="400">
        <f t="shared" si="29"/>
        <v>2.754</v>
      </c>
      <c r="M97" s="413">
        <f t="shared" si="30"/>
        <v>2.754</v>
      </c>
      <c r="N97" s="413">
        <f t="shared" si="31"/>
        <v>2.754</v>
      </c>
      <c r="O97" s="393">
        <f t="shared" si="32"/>
        <v>48.659016058928316</v>
      </c>
      <c r="P97" s="393">
        <f t="shared" si="33"/>
        <v>2.2679999999999998</v>
      </c>
      <c r="Q97" s="393">
        <f t="shared" si="34"/>
        <v>2.1960000000000002</v>
      </c>
      <c r="R97" s="393">
        <f t="shared" si="35"/>
        <v>3.24</v>
      </c>
      <c r="S97" s="393">
        <f t="shared" si="36"/>
        <v>3.1185</v>
      </c>
      <c r="T97" s="393">
        <f t="shared" si="37"/>
        <v>2.754</v>
      </c>
      <c r="U97" s="413">
        <f t="shared" si="38"/>
        <v>2.754</v>
      </c>
    </row>
    <row r="98" spans="1:21">
      <c r="A98">
        <v>251</v>
      </c>
      <c r="B98">
        <v>92</v>
      </c>
      <c r="C98" t="s">
        <v>128</v>
      </c>
      <c r="D98" s="391">
        <f t="shared" si="28"/>
        <v>49.14</v>
      </c>
      <c r="E98" s="390">
        <v>110.76815533980582</v>
      </c>
      <c r="F98" s="400">
        <v>74.304000000000002</v>
      </c>
      <c r="G98" s="400">
        <v>45.288000000000004</v>
      </c>
      <c r="H98" s="400">
        <v>49.14</v>
      </c>
      <c r="I98" s="400">
        <v>49.14</v>
      </c>
      <c r="J98" s="400">
        <v>49.14</v>
      </c>
      <c r="K98" s="400">
        <v>49.14</v>
      </c>
      <c r="L98" s="400">
        <f t="shared" si="29"/>
        <v>54.468000000000004</v>
      </c>
      <c r="M98" s="413">
        <f t="shared" si="30"/>
        <v>54.468000000000004</v>
      </c>
      <c r="N98" s="413">
        <f t="shared" si="31"/>
        <v>54.468000000000004</v>
      </c>
      <c r="O98" s="393">
        <f t="shared" si="32"/>
        <v>92.536077669902909</v>
      </c>
      <c r="P98" s="393">
        <f t="shared" si="33"/>
        <v>59.796000000000006</v>
      </c>
      <c r="Q98" s="393">
        <f t="shared" si="34"/>
        <v>47.213999999999999</v>
      </c>
      <c r="R98" s="393">
        <f t="shared" si="35"/>
        <v>49.14</v>
      </c>
      <c r="S98" s="393">
        <f t="shared" si="36"/>
        <v>50.472000000000008</v>
      </c>
      <c r="T98" s="393">
        <f t="shared" si="37"/>
        <v>54.468000000000004</v>
      </c>
      <c r="U98" s="413">
        <f t="shared" si="38"/>
        <v>54.468000000000004</v>
      </c>
    </row>
    <row r="99" spans="1:21">
      <c r="A99">
        <v>101</v>
      </c>
      <c r="B99">
        <v>93</v>
      </c>
      <c r="C99" t="s">
        <v>175</v>
      </c>
      <c r="D99" s="391">
        <f t="shared" si="28"/>
        <v>30.635999999999999</v>
      </c>
      <c r="E99" s="390">
        <v>176.28906295921291</v>
      </c>
      <c r="F99" s="400">
        <v>57.204000000000001</v>
      </c>
      <c r="G99" s="400">
        <v>29.7</v>
      </c>
      <c r="H99" s="400">
        <v>30.635999999999999</v>
      </c>
      <c r="I99" s="400">
        <v>30.635999999999999</v>
      </c>
      <c r="J99" s="400">
        <v>30.635999999999999</v>
      </c>
      <c r="K99" s="400">
        <v>30.635999999999999</v>
      </c>
      <c r="L99" s="400">
        <f t="shared" si="29"/>
        <v>37.043999999999997</v>
      </c>
      <c r="M99" s="413">
        <f t="shared" si="30"/>
        <v>37.043999999999997</v>
      </c>
      <c r="N99" s="413">
        <f t="shared" si="31"/>
        <v>37.043999999999997</v>
      </c>
      <c r="O99" s="393">
        <f t="shared" si="32"/>
        <v>116.74653147960646</v>
      </c>
      <c r="P99" s="393">
        <f t="shared" si="33"/>
        <v>43.451999999999998</v>
      </c>
      <c r="Q99" s="393">
        <f t="shared" si="34"/>
        <v>30.167999999999999</v>
      </c>
      <c r="R99" s="393">
        <f t="shared" si="35"/>
        <v>30.635999999999999</v>
      </c>
      <c r="S99" s="393">
        <f t="shared" si="36"/>
        <v>32.238</v>
      </c>
      <c r="T99" s="393">
        <f t="shared" si="37"/>
        <v>37.043999999999997</v>
      </c>
      <c r="U99" s="413">
        <f t="shared" si="38"/>
        <v>37.043999999999997</v>
      </c>
    </row>
    <row r="100" spans="1:21">
      <c r="A100">
        <v>202</v>
      </c>
      <c r="B100">
        <v>94</v>
      </c>
      <c r="C100" t="s">
        <v>177</v>
      </c>
      <c r="D100" s="391">
        <f t="shared" si="28"/>
        <v>4.9320000000000004</v>
      </c>
      <c r="E100" s="390">
        <v>1.2597775253378038</v>
      </c>
      <c r="F100" s="400">
        <v>3.6000000000000004E-2</v>
      </c>
      <c r="G100" s="400">
        <v>0.14400000000000002</v>
      </c>
      <c r="H100" s="400">
        <v>4.9320000000000004</v>
      </c>
      <c r="I100" s="400">
        <v>4.9320000000000004</v>
      </c>
      <c r="J100" s="400">
        <v>4.9320000000000004</v>
      </c>
      <c r="K100" s="400">
        <v>4.9320000000000004</v>
      </c>
      <c r="L100" s="400">
        <f t="shared" si="29"/>
        <v>2.5110000000000001</v>
      </c>
      <c r="M100" s="413">
        <f t="shared" si="30"/>
        <v>2.5110000000000001</v>
      </c>
      <c r="N100" s="413">
        <f t="shared" si="31"/>
        <v>2.5110000000000001</v>
      </c>
      <c r="O100" s="393">
        <f t="shared" si="32"/>
        <v>0.64788876266890194</v>
      </c>
      <c r="P100" s="393">
        <f t="shared" si="33"/>
        <v>9.0000000000000011E-2</v>
      </c>
      <c r="Q100" s="393">
        <f t="shared" si="34"/>
        <v>2.5380000000000003</v>
      </c>
      <c r="R100" s="393">
        <f t="shared" si="35"/>
        <v>4.9320000000000004</v>
      </c>
      <c r="S100" s="393">
        <f t="shared" si="36"/>
        <v>4.3267500000000005</v>
      </c>
      <c r="T100" s="393">
        <f t="shared" si="37"/>
        <v>2.5110000000000001</v>
      </c>
      <c r="U100" s="413">
        <f t="shared" si="38"/>
        <v>2.5110000000000001</v>
      </c>
    </row>
    <row r="101" spans="1:21">
      <c r="A101">
        <v>365</v>
      </c>
      <c r="B101">
        <v>95</v>
      </c>
      <c r="C101" t="s">
        <v>178</v>
      </c>
      <c r="D101" s="391">
        <f t="shared" si="28"/>
        <v>10.08</v>
      </c>
      <c r="E101" s="390">
        <v>14.570863365092658</v>
      </c>
      <c r="F101" s="400">
        <v>4.4279999999999999</v>
      </c>
      <c r="G101" s="400">
        <v>1.8720000000000001</v>
      </c>
      <c r="H101" s="400">
        <v>10.08</v>
      </c>
      <c r="I101" s="400">
        <v>10.08</v>
      </c>
      <c r="J101" s="400">
        <v>10.08</v>
      </c>
      <c r="K101" s="400">
        <v>10.08</v>
      </c>
      <c r="L101" s="400">
        <f t="shared" si="29"/>
        <v>6.6150000000000002</v>
      </c>
      <c r="M101" s="413">
        <f t="shared" si="30"/>
        <v>6.6150000000000002</v>
      </c>
      <c r="N101" s="413">
        <f t="shared" si="31"/>
        <v>6.6150000000000002</v>
      </c>
      <c r="O101" s="393">
        <f t="shared" si="32"/>
        <v>9.4994316825463283</v>
      </c>
      <c r="P101" s="393">
        <f t="shared" si="33"/>
        <v>3.15</v>
      </c>
      <c r="Q101" s="393">
        <f t="shared" si="34"/>
        <v>5.976</v>
      </c>
      <c r="R101" s="393">
        <f t="shared" si="35"/>
        <v>10.08</v>
      </c>
      <c r="S101" s="393">
        <f t="shared" si="36"/>
        <v>9.213750000000001</v>
      </c>
      <c r="T101" s="393">
        <f t="shared" si="37"/>
        <v>6.6150000000000002</v>
      </c>
      <c r="U101" s="413">
        <f t="shared" si="38"/>
        <v>6.6150000000000002</v>
      </c>
    </row>
    <row r="102" spans="1:21">
      <c r="A102">
        <v>128</v>
      </c>
      <c r="B102">
        <v>96</v>
      </c>
      <c r="C102" t="s">
        <v>179</v>
      </c>
      <c r="D102" s="391">
        <f t="shared" si="28"/>
        <v>31.643999999999998</v>
      </c>
      <c r="E102" s="390">
        <v>205.2131117243415</v>
      </c>
      <c r="F102" s="400">
        <v>196.30800000000002</v>
      </c>
      <c r="G102" s="400">
        <v>182.08799999999999</v>
      </c>
      <c r="H102" s="400">
        <v>31.643999999999998</v>
      </c>
      <c r="I102" s="400">
        <v>31.643999999999998</v>
      </c>
      <c r="J102" s="400">
        <v>31.643999999999998</v>
      </c>
      <c r="K102" s="400">
        <v>31.643999999999998</v>
      </c>
      <c r="L102" s="400">
        <f t="shared" si="29"/>
        <v>110.42100000000001</v>
      </c>
      <c r="M102" s="413">
        <f t="shared" si="30"/>
        <v>110.42100000000001</v>
      </c>
      <c r="N102" s="413">
        <f t="shared" si="31"/>
        <v>110.42100000000001</v>
      </c>
      <c r="O102" s="393">
        <f t="shared" si="32"/>
        <v>200.76055586217075</v>
      </c>
      <c r="P102" s="393">
        <f t="shared" si="33"/>
        <v>189.19800000000001</v>
      </c>
      <c r="Q102" s="393">
        <f t="shared" si="34"/>
        <v>106.866</v>
      </c>
      <c r="R102" s="393">
        <f t="shared" si="35"/>
        <v>31.643999999999998</v>
      </c>
      <c r="S102" s="393">
        <f t="shared" si="36"/>
        <v>51.338250000000002</v>
      </c>
      <c r="T102" s="393">
        <f t="shared" si="37"/>
        <v>110.42100000000001</v>
      </c>
      <c r="U102" s="413">
        <f t="shared" si="38"/>
        <v>110.42100000000001</v>
      </c>
    </row>
    <row r="103" spans="1:21">
      <c r="A103">
        <v>15</v>
      </c>
      <c r="B103">
        <v>97</v>
      </c>
      <c r="C103" t="s">
        <v>13</v>
      </c>
      <c r="D103" s="391">
        <f t="shared" si="28"/>
        <v>42.624000000000002</v>
      </c>
      <c r="E103" s="390">
        <v>39.40342616991105</v>
      </c>
      <c r="F103" s="400">
        <v>22.968</v>
      </c>
      <c r="G103" s="400">
        <v>15.912000000000001</v>
      </c>
      <c r="H103" s="400">
        <v>42.624000000000002</v>
      </c>
      <c r="I103" s="400">
        <v>42.624000000000002</v>
      </c>
      <c r="J103" s="400">
        <v>42.624000000000002</v>
      </c>
      <c r="K103" s="400">
        <v>42.624000000000002</v>
      </c>
      <c r="L103" s="400">
        <f t="shared" si="29"/>
        <v>31.032000000000004</v>
      </c>
      <c r="M103" s="413">
        <f t="shared" si="30"/>
        <v>31.032000000000004</v>
      </c>
      <c r="N103" s="413">
        <f t="shared" si="31"/>
        <v>31.032000000000004</v>
      </c>
      <c r="O103" s="393">
        <f t="shared" si="32"/>
        <v>31.185713084955523</v>
      </c>
      <c r="P103" s="393">
        <f t="shared" si="33"/>
        <v>19.440000000000001</v>
      </c>
      <c r="Q103" s="393">
        <f t="shared" si="34"/>
        <v>29.268000000000001</v>
      </c>
      <c r="R103" s="393">
        <f t="shared" si="35"/>
        <v>42.624000000000002</v>
      </c>
      <c r="S103" s="393">
        <f t="shared" si="36"/>
        <v>39.726000000000006</v>
      </c>
      <c r="T103" s="393">
        <f t="shared" si="37"/>
        <v>31.032000000000004</v>
      </c>
      <c r="U103" s="413">
        <f t="shared" si="38"/>
        <v>31.032000000000004</v>
      </c>
    </row>
    <row r="104" spans="1:21">
      <c r="A104">
        <v>102</v>
      </c>
      <c r="B104">
        <v>98</v>
      </c>
      <c r="C104" t="s">
        <v>180</v>
      </c>
      <c r="D104" s="391">
        <f t="shared" si="28"/>
        <v>0</v>
      </c>
      <c r="E104" s="390">
        <v>0</v>
      </c>
      <c r="F104" s="400">
        <v>0</v>
      </c>
      <c r="G104" s="400">
        <v>0</v>
      </c>
      <c r="H104" s="400">
        <v>0</v>
      </c>
      <c r="I104" s="400">
        <v>0</v>
      </c>
      <c r="J104" s="400">
        <v>0</v>
      </c>
      <c r="K104" s="400">
        <v>0</v>
      </c>
      <c r="L104" s="400">
        <f t="shared" si="29"/>
        <v>0</v>
      </c>
      <c r="M104" s="413">
        <f t="shared" si="30"/>
        <v>0</v>
      </c>
      <c r="N104" s="413">
        <f t="shared" si="31"/>
        <v>0</v>
      </c>
      <c r="O104" s="393">
        <f t="shared" si="32"/>
        <v>0</v>
      </c>
      <c r="P104" s="393">
        <f t="shared" si="33"/>
        <v>0</v>
      </c>
      <c r="Q104" s="393">
        <f t="shared" si="34"/>
        <v>0</v>
      </c>
      <c r="R104" s="393">
        <f t="shared" si="35"/>
        <v>0</v>
      </c>
      <c r="S104" s="393">
        <f t="shared" si="36"/>
        <v>0</v>
      </c>
      <c r="T104" s="393">
        <f t="shared" si="37"/>
        <v>0</v>
      </c>
      <c r="U104" s="413">
        <f t="shared" si="38"/>
        <v>0</v>
      </c>
    </row>
    <row r="105" spans="1:21">
      <c r="A105">
        <v>412</v>
      </c>
      <c r="B105">
        <v>99</v>
      </c>
      <c r="C105" t="s">
        <v>181</v>
      </c>
      <c r="D105" s="391">
        <f t="shared" si="28"/>
        <v>9</v>
      </c>
      <c r="E105" s="390">
        <v>11.622419083795489</v>
      </c>
      <c r="F105" s="400">
        <v>3.9960000000000004</v>
      </c>
      <c r="G105" s="400">
        <v>1.0080000000000002</v>
      </c>
      <c r="H105" s="400">
        <v>9</v>
      </c>
      <c r="I105" s="400">
        <v>9</v>
      </c>
      <c r="J105" s="400">
        <v>9</v>
      </c>
      <c r="K105" s="400">
        <v>9</v>
      </c>
      <c r="L105" s="400">
        <f t="shared" si="29"/>
        <v>5.7510000000000003</v>
      </c>
      <c r="M105" s="413">
        <f t="shared" si="30"/>
        <v>5.7510000000000003</v>
      </c>
      <c r="N105" s="413">
        <f t="shared" si="31"/>
        <v>5.7510000000000003</v>
      </c>
      <c r="O105" s="393">
        <f t="shared" si="32"/>
        <v>7.8092095418977445</v>
      </c>
      <c r="P105" s="393">
        <f t="shared" si="33"/>
        <v>2.5020000000000002</v>
      </c>
      <c r="Q105" s="393">
        <f t="shared" si="34"/>
        <v>5.0040000000000004</v>
      </c>
      <c r="R105" s="393">
        <f t="shared" si="35"/>
        <v>9</v>
      </c>
      <c r="S105" s="393">
        <f t="shared" si="36"/>
        <v>8.1877499999999994</v>
      </c>
      <c r="T105" s="393">
        <f t="shared" si="37"/>
        <v>5.7510000000000003</v>
      </c>
      <c r="U105" s="413">
        <f t="shared" si="38"/>
        <v>5.7510000000000003</v>
      </c>
    </row>
    <row r="106" spans="1:21">
      <c r="A106">
        <v>436</v>
      </c>
      <c r="B106">
        <v>100</v>
      </c>
      <c r="C106" t="s">
        <v>182</v>
      </c>
      <c r="D106" s="391">
        <f t="shared" si="28"/>
        <v>126.864</v>
      </c>
      <c r="E106" s="390">
        <v>156.98711386910014</v>
      </c>
      <c r="F106" s="400">
        <v>141.732</v>
      </c>
      <c r="G106" s="400">
        <v>138.16800000000001</v>
      </c>
      <c r="H106" s="400">
        <v>126.864</v>
      </c>
      <c r="I106" s="400">
        <v>126.864</v>
      </c>
      <c r="J106" s="400">
        <v>126.864</v>
      </c>
      <c r="K106" s="400">
        <v>126.864</v>
      </c>
      <c r="L106" s="400">
        <f t="shared" si="29"/>
        <v>133.40700000000001</v>
      </c>
      <c r="M106" s="413">
        <f t="shared" si="30"/>
        <v>133.40700000000001</v>
      </c>
      <c r="N106" s="413">
        <f t="shared" si="31"/>
        <v>133.40700000000001</v>
      </c>
      <c r="O106" s="393">
        <f t="shared" si="32"/>
        <v>149.35955693455008</v>
      </c>
      <c r="P106" s="393">
        <f t="shared" si="33"/>
        <v>139.94999999999999</v>
      </c>
      <c r="Q106" s="393">
        <f t="shared" si="34"/>
        <v>132.51600000000002</v>
      </c>
      <c r="R106" s="393">
        <f t="shared" si="35"/>
        <v>126.864</v>
      </c>
      <c r="S106" s="393">
        <f t="shared" si="36"/>
        <v>128.49975000000001</v>
      </c>
      <c r="T106" s="393">
        <f t="shared" si="37"/>
        <v>133.40700000000001</v>
      </c>
      <c r="U106" s="413">
        <f t="shared" si="38"/>
        <v>133.40700000000001</v>
      </c>
    </row>
    <row r="107" spans="1:21">
      <c r="A107">
        <v>124</v>
      </c>
      <c r="B107">
        <v>101</v>
      </c>
      <c r="C107" t="s">
        <v>183</v>
      </c>
      <c r="D107" s="391">
        <f t="shared" si="28"/>
        <v>1.044</v>
      </c>
      <c r="E107" s="390">
        <v>0.31776073373309022</v>
      </c>
      <c r="F107" s="400">
        <v>0.18000000000000002</v>
      </c>
      <c r="G107" s="400">
        <v>0.14400000000000002</v>
      </c>
      <c r="H107" s="400">
        <v>1.044</v>
      </c>
      <c r="I107" s="400">
        <v>1.044</v>
      </c>
      <c r="J107" s="400">
        <v>1.044</v>
      </c>
      <c r="K107" s="400">
        <v>1.044</v>
      </c>
      <c r="L107" s="400">
        <f t="shared" si="29"/>
        <v>0.60299999999999998</v>
      </c>
      <c r="M107" s="413">
        <f t="shared" si="30"/>
        <v>0.60299999999999998</v>
      </c>
      <c r="N107" s="413">
        <f t="shared" si="31"/>
        <v>0.60299999999999998</v>
      </c>
      <c r="O107" s="393">
        <f t="shared" si="32"/>
        <v>0.24888036686654513</v>
      </c>
      <c r="P107" s="393">
        <f t="shared" si="33"/>
        <v>0.16200000000000003</v>
      </c>
      <c r="Q107" s="393">
        <f t="shared" si="34"/>
        <v>0.59400000000000008</v>
      </c>
      <c r="R107" s="393">
        <f t="shared" si="35"/>
        <v>1.044</v>
      </c>
      <c r="S107" s="393">
        <f t="shared" si="36"/>
        <v>0.93375000000000008</v>
      </c>
      <c r="T107" s="393">
        <f t="shared" si="37"/>
        <v>0.60299999999999998</v>
      </c>
      <c r="U107" s="413">
        <f t="shared" si="38"/>
        <v>0.60299999999999998</v>
      </c>
    </row>
    <row r="108" spans="1:21">
      <c r="A108">
        <v>103</v>
      </c>
      <c r="B108">
        <v>102</v>
      </c>
      <c r="C108" t="s">
        <v>184</v>
      </c>
      <c r="D108" s="391">
        <f t="shared" si="28"/>
        <v>6.48</v>
      </c>
      <c r="E108" s="390">
        <v>9.038984707924449</v>
      </c>
      <c r="F108" s="400">
        <v>2.3400000000000003</v>
      </c>
      <c r="G108" s="400">
        <v>3.528</v>
      </c>
      <c r="H108" s="400">
        <v>6.48</v>
      </c>
      <c r="I108" s="400">
        <v>6.48</v>
      </c>
      <c r="J108" s="400">
        <v>6.48</v>
      </c>
      <c r="K108" s="400">
        <v>6.48</v>
      </c>
      <c r="L108" s="400">
        <f t="shared" si="29"/>
        <v>4.7070000000000007</v>
      </c>
      <c r="M108" s="413">
        <f t="shared" si="30"/>
        <v>4.7070000000000007</v>
      </c>
      <c r="N108" s="413">
        <f t="shared" si="31"/>
        <v>4.7070000000000007</v>
      </c>
      <c r="O108" s="393">
        <f t="shared" si="32"/>
        <v>5.6894923539622244</v>
      </c>
      <c r="P108" s="393">
        <f t="shared" si="33"/>
        <v>2.9340000000000002</v>
      </c>
      <c r="Q108" s="393">
        <f t="shared" si="34"/>
        <v>5.0040000000000004</v>
      </c>
      <c r="R108" s="393">
        <f t="shared" si="35"/>
        <v>6.48</v>
      </c>
      <c r="S108" s="393">
        <f t="shared" si="36"/>
        <v>6.0367500000000005</v>
      </c>
      <c r="T108" s="393">
        <f t="shared" si="37"/>
        <v>4.7070000000000007</v>
      </c>
      <c r="U108" s="413">
        <f t="shared" si="38"/>
        <v>4.7070000000000007</v>
      </c>
    </row>
    <row r="109" spans="1:21">
      <c r="A109">
        <v>372</v>
      </c>
      <c r="B109">
        <v>103</v>
      </c>
      <c r="C109" t="s">
        <v>185</v>
      </c>
      <c r="D109" s="391">
        <f t="shared" si="28"/>
        <v>0.93600000000000005</v>
      </c>
      <c r="E109" s="390">
        <v>0.41882463343108511</v>
      </c>
      <c r="F109" s="400">
        <v>0.75600000000000001</v>
      </c>
      <c r="G109" s="400">
        <v>0</v>
      </c>
      <c r="H109" s="400">
        <v>0.93600000000000005</v>
      </c>
      <c r="I109" s="400">
        <v>0.93600000000000005</v>
      </c>
      <c r="J109" s="400">
        <v>0.93600000000000005</v>
      </c>
      <c r="K109" s="400">
        <v>0.93600000000000005</v>
      </c>
      <c r="L109" s="400">
        <f t="shared" si="29"/>
        <v>0.65700000000000003</v>
      </c>
      <c r="M109" s="413">
        <f t="shared" si="30"/>
        <v>0.65700000000000003</v>
      </c>
      <c r="N109" s="413">
        <f t="shared" si="31"/>
        <v>0.65700000000000003</v>
      </c>
      <c r="O109" s="393">
        <f t="shared" si="32"/>
        <v>0.5874123167155425</v>
      </c>
      <c r="P109" s="393">
        <f t="shared" si="33"/>
        <v>0.378</v>
      </c>
      <c r="Q109" s="393">
        <f t="shared" si="34"/>
        <v>0.46800000000000003</v>
      </c>
      <c r="R109" s="393">
        <f t="shared" si="35"/>
        <v>0.93600000000000005</v>
      </c>
      <c r="S109" s="393">
        <f t="shared" si="36"/>
        <v>0.86625000000000008</v>
      </c>
      <c r="T109" s="393">
        <f t="shared" si="37"/>
        <v>0.65700000000000003</v>
      </c>
      <c r="U109" s="413">
        <f t="shared" si="38"/>
        <v>0.65700000000000003</v>
      </c>
    </row>
    <row r="110" spans="1:21">
      <c r="A110">
        <v>203</v>
      </c>
      <c r="B110">
        <v>104</v>
      </c>
      <c r="C110" t="s">
        <v>186</v>
      </c>
      <c r="D110" s="391">
        <f t="shared" si="28"/>
        <v>0</v>
      </c>
      <c r="E110" s="390">
        <v>0.30298503410056649</v>
      </c>
      <c r="F110" s="400">
        <v>7.2000000000000008E-2</v>
      </c>
      <c r="G110" s="400">
        <v>0</v>
      </c>
      <c r="H110" s="400">
        <v>0</v>
      </c>
      <c r="I110" s="400">
        <v>0</v>
      </c>
      <c r="J110" s="400">
        <v>0</v>
      </c>
      <c r="K110" s="400">
        <v>0</v>
      </c>
      <c r="L110" s="400">
        <f t="shared" si="29"/>
        <v>1.8000000000000002E-2</v>
      </c>
      <c r="M110" s="413">
        <f t="shared" si="30"/>
        <v>1.8000000000000002E-2</v>
      </c>
      <c r="N110" s="413">
        <f t="shared" si="31"/>
        <v>1.8000000000000002E-2</v>
      </c>
      <c r="O110" s="393">
        <f t="shared" si="32"/>
        <v>0.18749251705028325</v>
      </c>
      <c r="P110" s="393">
        <f t="shared" si="33"/>
        <v>3.6000000000000004E-2</v>
      </c>
      <c r="Q110" s="393">
        <f t="shared" si="34"/>
        <v>0</v>
      </c>
      <c r="R110" s="393">
        <f t="shared" si="35"/>
        <v>0</v>
      </c>
      <c r="S110" s="393">
        <f t="shared" si="36"/>
        <v>4.5000000000000005E-3</v>
      </c>
      <c r="T110" s="393">
        <f t="shared" si="37"/>
        <v>1.8000000000000002E-2</v>
      </c>
      <c r="U110" s="413">
        <f t="shared" si="38"/>
        <v>1.8000000000000002E-2</v>
      </c>
    </row>
    <row r="111" spans="1:21">
      <c r="A111">
        <v>291</v>
      </c>
      <c r="B111">
        <v>105</v>
      </c>
      <c r="C111" t="s">
        <v>187</v>
      </c>
      <c r="D111" s="391">
        <f t="shared" si="28"/>
        <v>42.156000000000006</v>
      </c>
      <c r="E111" s="390">
        <v>66.894191254851236</v>
      </c>
      <c r="F111" s="400">
        <v>83.664000000000001</v>
      </c>
      <c r="G111" s="400">
        <v>28.44</v>
      </c>
      <c r="H111" s="400">
        <v>42.156000000000006</v>
      </c>
      <c r="I111" s="400">
        <v>42.156000000000006</v>
      </c>
      <c r="J111" s="400">
        <v>42.156000000000006</v>
      </c>
      <c r="K111" s="400">
        <v>42.156000000000006</v>
      </c>
      <c r="L111" s="400">
        <f t="shared" si="29"/>
        <v>49.103999999999999</v>
      </c>
      <c r="M111" s="413">
        <f t="shared" si="30"/>
        <v>49.103999999999999</v>
      </c>
      <c r="N111" s="413">
        <f t="shared" si="31"/>
        <v>49.103999999999999</v>
      </c>
      <c r="O111" s="393">
        <f t="shared" si="32"/>
        <v>75.279095627425619</v>
      </c>
      <c r="P111" s="393">
        <f t="shared" si="33"/>
        <v>56.052</v>
      </c>
      <c r="Q111" s="393">
        <f t="shared" si="34"/>
        <v>35.298000000000002</v>
      </c>
      <c r="R111" s="393">
        <f t="shared" si="35"/>
        <v>42.156000000000006</v>
      </c>
      <c r="S111" s="393">
        <f t="shared" si="36"/>
        <v>43.893000000000001</v>
      </c>
      <c r="T111" s="393">
        <f t="shared" si="37"/>
        <v>49.103999999999999</v>
      </c>
      <c r="U111" s="413">
        <f t="shared" si="38"/>
        <v>49.103999999999999</v>
      </c>
    </row>
    <row r="112" spans="1:21">
      <c r="A112">
        <v>390</v>
      </c>
      <c r="B112">
        <v>106</v>
      </c>
      <c r="C112" t="s">
        <v>188</v>
      </c>
      <c r="D112" s="391">
        <f t="shared" si="28"/>
        <v>72.539999999999992</v>
      </c>
      <c r="E112" s="390">
        <v>68.405551701598455</v>
      </c>
      <c r="F112" s="400">
        <v>64.00800000000001</v>
      </c>
      <c r="G112" s="400">
        <v>64.944000000000003</v>
      </c>
      <c r="H112" s="400">
        <v>72.539999999999992</v>
      </c>
      <c r="I112" s="400">
        <v>72.539999999999992</v>
      </c>
      <c r="J112" s="400">
        <v>72.539999999999992</v>
      </c>
      <c r="K112" s="400">
        <v>72.539999999999992</v>
      </c>
      <c r="L112" s="400">
        <f t="shared" si="29"/>
        <v>68.507999999999996</v>
      </c>
      <c r="M112" s="413">
        <f t="shared" si="30"/>
        <v>68.507999999999996</v>
      </c>
      <c r="N112" s="413">
        <f t="shared" si="31"/>
        <v>68.507999999999996</v>
      </c>
      <c r="O112" s="393">
        <f t="shared" si="32"/>
        <v>66.206775850799232</v>
      </c>
      <c r="P112" s="393">
        <f t="shared" si="33"/>
        <v>64.475999999999999</v>
      </c>
      <c r="Q112" s="393">
        <f t="shared" si="34"/>
        <v>68.74199999999999</v>
      </c>
      <c r="R112" s="393">
        <f t="shared" si="35"/>
        <v>72.539999999999992</v>
      </c>
      <c r="S112" s="393">
        <f t="shared" si="36"/>
        <v>71.531999999999996</v>
      </c>
      <c r="T112" s="393">
        <f t="shared" si="37"/>
        <v>68.507999999999996</v>
      </c>
      <c r="U112" s="413">
        <f t="shared" si="38"/>
        <v>68.507999999999996</v>
      </c>
    </row>
    <row r="113" spans="1:21">
      <c r="A113">
        <v>293</v>
      </c>
      <c r="B113">
        <v>107</v>
      </c>
      <c r="C113" t="s">
        <v>189</v>
      </c>
      <c r="D113" s="391">
        <f t="shared" si="28"/>
        <v>76.5</v>
      </c>
      <c r="E113" s="390">
        <v>157.2159245230051</v>
      </c>
      <c r="F113" s="400">
        <v>115.92000000000002</v>
      </c>
      <c r="G113" s="400">
        <v>118.29600000000001</v>
      </c>
      <c r="H113" s="400">
        <v>76.5</v>
      </c>
      <c r="I113" s="400">
        <v>76.5</v>
      </c>
      <c r="J113" s="400">
        <v>76.5</v>
      </c>
      <c r="K113" s="400">
        <v>76.5</v>
      </c>
      <c r="L113" s="400">
        <f t="shared" si="29"/>
        <v>96.804000000000002</v>
      </c>
      <c r="M113" s="413">
        <f t="shared" si="30"/>
        <v>96.804000000000002</v>
      </c>
      <c r="N113" s="413">
        <f t="shared" si="31"/>
        <v>96.804000000000002</v>
      </c>
      <c r="O113" s="393">
        <f t="shared" si="32"/>
        <v>136.56796226150254</v>
      </c>
      <c r="P113" s="393">
        <f t="shared" si="33"/>
        <v>117.108</v>
      </c>
      <c r="Q113" s="393">
        <f t="shared" si="34"/>
        <v>97.397999999999996</v>
      </c>
      <c r="R113" s="393">
        <f t="shared" si="35"/>
        <v>76.5</v>
      </c>
      <c r="S113" s="393">
        <f t="shared" si="36"/>
        <v>81.575999999999993</v>
      </c>
      <c r="T113" s="393">
        <f t="shared" si="37"/>
        <v>96.804000000000002</v>
      </c>
      <c r="U113" s="413">
        <f t="shared" si="38"/>
        <v>96.804000000000002</v>
      </c>
    </row>
    <row r="114" spans="1:21">
      <c r="A114">
        <v>46</v>
      </c>
      <c r="B114">
        <v>108</v>
      </c>
      <c r="C114" t="s">
        <v>372</v>
      </c>
      <c r="D114" s="391">
        <f t="shared" si="28"/>
        <v>18.576000000000001</v>
      </c>
      <c r="E114" s="390">
        <v>11.495696223776223</v>
      </c>
      <c r="F114" s="400">
        <v>7.4880000000000004</v>
      </c>
      <c r="G114" s="400">
        <v>4.8240000000000007</v>
      </c>
      <c r="H114" s="400">
        <v>18.576000000000001</v>
      </c>
      <c r="I114" s="400">
        <v>18.576000000000001</v>
      </c>
      <c r="J114" s="400">
        <v>18.576000000000001</v>
      </c>
      <c r="K114" s="400">
        <v>18.576000000000001</v>
      </c>
      <c r="L114" s="400">
        <f t="shared" si="29"/>
        <v>12.366</v>
      </c>
      <c r="M114" s="413">
        <f t="shared" si="30"/>
        <v>12.366</v>
      </c>
      <c r="N114" s="413">
        <f t="shared" si="31"/>
        <v>12.366</v>
      </c>
      <c r="O114" s="393">
        <f t="shared" si="32"/>
        <v>9.4918481118881122</v>
      </c>
      <c r="P114" s="393">
        <f t="shared" si="33"/>
        <v>6.1560000000000006</v>
      </c>
      <c r="Q114" s="393">
        <f t="shared" si="34"/>
        <v>11.700000000000001</v>
      </c>
      <c r="R114" s="393">
        <f t="shared" si="35"/>
        <v>18.576000000000001</v>
      </c>
      <c r="S114" s="393">
        <f t="shared" si="36"/>
        <v>17.023499999999999</v>
      </c>
      <c r="T114" s="393">
        <f t="shared" si="37"/>
        <v>12.366</v>
      </c>
      <c r="U114" s="413">
        <f t="shared" si="38"/>
        <v>12.366</v>
      </c>
    </row>
    <row r="115" spans="1:21">
      <c r="A115">
        <v>276</v>
      </c>
      <c r="B115">
        <v>109</v>
      </c>
      <c r="C115" t="s">
        <v>190</v>
      </c>
      <c r="D115" s="391">
        <f t="shared" si="28"/>
        <v>0</v>
      </c>
      <c r="E115" s="390">
        <v>7.1165639987559828E-2</v>
      </c>
      <c r="F115" s="400">
        <v>0</v>
      </c>
      <c r="G115" s="400">
        <v>0</v>
      </c>
      <c r="H115" s="400">
        <v>0</v>
      </c>
      <c r="I115" s="400">
        <v>0</v>
      </c>
      <c r="J115" s="400">
        <v>0</v>
      </c>
      <c r="K115" s="400">
        <v>0</v>
      </c>
      <c r="L115" s="400">
        <f t="shared" si="29"/>
        <v>0</v>
      </c>
      <c r="M115" s="413">
        <f t="shared" si="30"/>
        <v>0</v>
      </c>
      <c r="N115" s="413">
        <f t="shared" si="31"/>
        <v>0</v>
      </c>
      <c r="O115" s="393">
        <f t="shared" si="32"/>
        <v>3.5582819993779914E-2</v>
      </c>
      <c r="P115" s="393">
        <f t="shared" si="33"/>
        <v>0</v>
      </c>
      <c r="Q115" s="393">
        <f t="shared" si="34"/>
        <v>0</v>
      </c>
      <c r="R115" s="393">
        <f t="shared" si="35"/>
        <v>0</v>
      </c>
      <c r="S115" s="393">
        <f t="shared" si="36"/>
        <v>0</v>
      </c>
      <c r="T115" s="393">
        <f t="shared" si="37"/>
        <v>0</v>
      </c>
      <c r="U115" s="413">
        <f t="shared" si="38"/>
        <v>0</v>
      </c>
    </row>
    <row r="116" spans="1:21">
      <c r="A116">
        <v>204</v>
      </c>
      <c r="B116">
        <v>110</v>
      </c>
      <c r="C116" t="s">
        <v>191</v>
      </c>
      <c r="D116" s="391">
        <f t="shared" si="28"/>
        <v>0</v>
      </c>
      <c r="E116" s="390">
        <v>1.8525093479053456E-2</v>
      </c>
      <c r="F116" s="400">
        <v>0</v>
      </c>
      <c r="G116" s="400">
        <v>0</v>
      </c>
      <c r="H116" s="400">
        <v>0</v>
      </c>
      <c r="I116" s="400">
        <v>0</v>
      </c>
      <c r="J116" s="400">
        <v>0</v>
      </c>
      <c r="K116" s="400">
        <v>0</v>
      </c>
      <c r="L116" s="400">
        <f t="shared" si="29"/>
        <v>0</v>
      </c>
      <c r="M116" s="413">
        <f t="shared" si="30"/>
        <v>0</v>
      </c>
      <c r="N116" s="413">
        <f t="shared" si="31"/>
        <v>0</v>
      </c>
      <c r="O116" s="393">
        <f t="shared" si="32"/>
        <v>9.262546739526728E-3</v>
      </c>
      <c r="P116" s="393">
        <f t="shared" si="33"/>
        <v>0</v>
      </c>
      <c r="Q116" s="393">
        <f t="shared" si="34"/>
        <v>0</v>
      </c>
      <c r="R116" s="393">
        <f t="shared" si="35"/>
        <v>0</v>
      </c>
      <c r="S116" s="393">
        <f t="shared" si="36"/>
        <v>0</v>
      </c>
      <c r="T116" s="393">
        <f t="shared" si="37"/>
        <v>0</v>
      </c>
      <c r="U116" s="413">
        <f t="shared" si="38"/>
        <v>0</v>
      </c>
    </row>
    <row r="117" spans="1:21">
      <c r="A117">
        <v>265</v>
      </c>
      <c r="B117">
        <v>111</v>
      </c>
      <c r="C117" t="s">
        <v>382</v>
      </c>
      <c r="D117" s="391">
        <f t="shared" si="28"/>
        <v>11.520000000000001</v>
      </c>
      <c r="E117" s="390">
        <v>13.424600788919953</v>
      </c>
      <c r="F117" s="400">
        <v>9.9359999999999999</v>
      </c>
      <c r="G117" s="400">
        <v>0.72000000000000008</v>
      </c>
      <c r="H117" s="400">
        <v>11.520000000000001</v>
      </c>
      <c r="I117" s="400">
        <v>11.520000000000001</v>
      </c>
      <c r="J117" s="400">
        <v>11.520000000000001</v>
      </c>
      <c r="K117" s="400">
        <v>11.520000000000001</v>
      </c>
      <c r="L117" s="400">
        <f t="shared" si="29"/>
        <v>8.4240000000000013</v>
      </c>
      <c r="M117" s="413">
        <f t="shared" si="30"/>
        <v>8.4240000000000013</v>
      </c>
      <c r="N117" s="413">
        <f t="shared" si="31"/>
        <v>8.4240000000000013</v>
      </c>
      <c r="O117" s="393">
        <f t="shared" si="32"/>
        <v>11.680300394459977</v>
      </c>
      <c r="P117" s="393">
        <f t="shared" si="33"/>
        <v>5.3280000000000003</v>
      </c>
      <c r="Q117" s="393">
        <f t="shared" si="34"/>
        <v>6.120000000000001</v>
      </c>
      <c r="R117" s="393">
        <f t="shared" si="35"/>
        <v>11.520000000000001</v>
      </c>
      <c r="S117" s="393">
        <f t="shared" si="36"/>
        <v>10.746</v>
      </c>
      <c r="T117" s="393">
        <f t="shared" si="37"/>
        <v>8.4240000000000013</v>
      </c>
      <c r="U117" s="413">
        <f t="shared" si="38"/>
        <v>8.4240000000000013</v>
      </c>
    </row>
    <row r="118" spans="1:21">
      <c r="A118">
        <v>370</v>
      </c>
      <c r="B118">
        <v>112</v>
      </c>
      <c r="C118" t="s">
        <v>192</v>
      </c>
      <c r="D118" s="391">
        <f t="shared" si="28"/>
        <v>12.672000000000001</v>
      </c>
      <c r="E118" s="390">
        <v>4.0877483857979495</v>
      </c>
      <c r="F118" s="400">
        <v>16.667999999999999</v>
      </c>
      <c r="G118" s="400">
        <v>31.392000000000003</v>
      </c>
      <c r="H118" s="400">
        <v>12.672000000000001</v>
      </c>
      <c r="I118" s="400">
        <v>12.672000000000001</v>
      </c>
      <c r="J118" s="400">
        <v>12.672000000000001</v>
      </c>
      <c r="K118" s="400">
        <v>12.672000000000001</v>
      </c>
      <c r="L118" s="400">
        <f t="shared" si="29"/>
        <v>18.350999999999999</v>
      </c>
      <c r="M118" s="413">
        <f t="shared" si="30"/>
        <v>18.350999999999999</v>
      </c>
      <c r="N118" s="413">
        <f t="shared" si="31"/>
        <v>18.350999999999999</v>
      </c>
      <c r="O118" s="393">
        <f t="shared" si="32"/>
        <v>10.377874192898975</v>
      </c>
      <c r="P118" s="393">
        <f t="shared" si="33"/>
        <v>24.03</v>
      </c>
      <c r="Q118" s="393">
        <f t="shared" si="34"/>
        <v>22.032000000000004</v>
      </c>
      <c r="R118" s="393">
        <f t="shared" si="35"/>
        <v>12.672000000000001</v>
      </c>
      <c r="S118" s="393">
        <f t="shared" si="36"/>
        <v>14.091750000000001</v>
      </c>
      <c r="T118" s="393">
        <f t="shared" si="37"/>
        <v>18.350999999999999</v>
      </c>
      <c r="U118" s="413">
        <f t="shared" si="38"/>
        <v>18.350999999999999</v>
      </c>
    </row>
    <row r="119" spans="1:21">
      <c r="A119">
        <v>234</v>
      </c>
      <c r="B119">
        <v>113</v>
      </c>
      <c r="C119" t="s">
        <v>518</v>
      </c>
      <c r="D119" s="391">
        <f t="shared" si="28"/>
        <v>0</v>
      </c>
      <c r="E119" s="390">
        <v>0</v>
      </c>
      <c r="F119" s="400">
        <v>0</v>
      </c>
      <c r="G119" s="400">
        <v>0</v>
      </c>
      <c r="H119" s="400">
        <v>0</v>
      </c>
      <c r="I119" s="400">
        <v>0</v>
      </c>
      <c r="J119" s="400">
        <v>0</v>
      </c>
      <c r="K119" s="400">
        <v>0</v>
      </c>
      <c r="L119" s="400">
        <f t="shared" si="29"/>
        <v>0</v>
      </c>
      <c r="M119" s="413">
        <f t="shared" si="30"/>
        <v>0</v>
      </c>
      <c r="N119" s="413">
        <f t="shared" si="31"/>
        <v>0</v>
      </c>
      <c r="O119" s="393">
        <f t="shared" si="32"/>
        <v>0</v>
      </c>
      <c r="P119" s="393">
        <f t="shared" si="33"/>
        <v>0</v>
      </c>
      <c r="Q119" s="393">
        <f t="shared" si="34"/>
        <v>0</v>
      </c>
      <c r="R119" s="393">
        <f t="shared" si="35"/>
        <v>0</v>
      </c>
      <c r="S119" s="393">
        <f t="shared" si="36"/>
        <v>0</v>
      </c>
      <c r="T119" s="393">
        <f t="shared" si="37"/>
        <v>0</v>
      </c>
      <c r="U119" s="413">
        <f t="shared" si="38"/>
        <v>0</v>
      </c>
    </row>
    <row r="120" spans="1:21">
      <c r="A120">
        <v>185</v>
      </c>
      <c r="B120">
        <v>114</v>
      </c>
      <c r="C120" t="s">
        <v>194</v>
      </c>
      <c r="D120" s="391">
        <f t="shared" si="28"/>
        <v>25.056000000000001</v>
      </c>
      <c r="E120" s="390">
        <v>8.8839115343450707</v>
      </c>
      <c r="F120" s="400">
        <v>18.252000000000002</v>
      </c>
      <c r="G120" s="400">
        <v>17.28</v>
      </c>
      <c r="H120" s="400">
        <v>25.056000000000001</v>
      </c>
      <c r="I120" s="400">
        <v>25.056000000000001</v>
      </c>
      <c r="J120" s="400">
        <v>25.056000000000001</v>
      </c>
      <c r="K120" s="400">
        <v>25.056000000000001</v>
      </c>
      <c r="L120" s="400">
        <f t="shared" si="29"/>
        <v>21.411000000000001</v>
      </c>
      <c r="M120" s="413">
        <f t="shared" si="30"/>
        <v>21.411000000000001</v>
      </c>
      <c r="N120" s="413">
        <f t="shared" si="31"/>
        <v>21.411000000000001</v>
      </c>
      <c r="O120" s="393">
        <f t="shared" si="32"/>
        <v>13.567955767172537</v>
      </c>
      <c r="P120" s="393">
        <f t="shared" si="33"/>
        <v>17.766000000000002</v>
      </c>
      <c r="Q120" s="393">
        <f t="shared" si="34"/>
        <v>21.167999999999999</v>
      </c>
      <c r="R120" s="393">
        <f t="shared" si="35"/>
        <v>25.056000000000001</v>
      </c>
      <c r="S120" s="393">
        <f t="shared" si="36"/>
        <v>24.144750000000002</v>
      </c>
      <c r="T120" s="393">
        <f t="shared" si="37"/>
        <v>21.411000000000001</v>
      </c>
      <c r="U120" s="413">
        <f t="shared" si="38"/>
        <v>21.411000000000001</v>
      </c>
    </row>
    <row r="121" spans="1:21">
      <c r="A121">
        <v>229</v>
      </c>
      <c r="B121">
        <v>115</v>
      </c>
      <c r="C121" t="s">
        <v>201</v>
      </c>
      <c r="D121" s="391">
        <f t="shared" si="28"/>
        <v>3.2040000000000002</v>
      </c>
      <c r="E121" s="390">
        <v>1.4084310410645142</v>
      </c>
      <c r="F121" s="400">
        <v>6.9479999999999995</v>
      </c>
      <c r="G121" s="400">
        <v>0.57600000000000007</v>
      </c>
      <c r="H121" s="400">
        <v>3.2040000000000002</v>
      </c>
      <c r="I121" s="400">
        <v>3.2040000000000002</v>
      </c>
      <c r="J121" s="400">
        <v>3.2040000000000002</v>
      </c>
      <c r="K121" s="400">
        <v>3.2040000000000002</v>
      </c>
      <c r="L121" s="400">
        <f t="shared" si="29"/>
        <v>3.4830000000000001</v>
      </c>
      <c r="M121" s="413">
        <f t="shared" si="30"/>
        <v>3.4830000000000001</v>
      </c>
      <c r="N121" s="413">
        <f t="shared" si="31"/>
        <v>3.4830000000000001</v>
      </c>
      <c r="O121" s="393">
        <f t="shared" si="32"/>
        <v>4.1782155205322571</v>
      </c>
      <c r="P121" s="393">
        <f t="shared" si="33"/>
        <v>3.7619999999999996</v>
      </c>
      <c r="Q121" s="393">
        <f t="shared" si="34"/>
        <v>1.8900000000000001</v>
      </c>
      <c r="R121" s="393">
        <f t="shared" si="35"/>
        <v>3.2040000000000002</v>
      </c>
      <c r="S121" s="393">
        <f t="shared" si="36"/>
        <v>3.2737500000000002</v>
      </c>
      <c r="T121" s="393">
        <f t="shared" si="37"/>
        <v>3.4830000000000001</v>
      </c>
      <c r="U121" s="413">
        <f t="shared" si="38"/>
        <v>3.4830000000000001</v>
      </c>
    </row>
    <row r="122" spans="1:21">
      <c r="A122">
        <v>337</v>
      </c>
      <c r="B122">
        <v>116</v>
      </c>
      <c r="C122" t="s">
        <v>319</v>
      </c>
      <c r="D122" s="391">
        <f t="shared" si="28"/>
        <v>59.975999999999999</v>
      </c>
      <c r="E122" s="390">
        <v>168.3313249508841</v>
      </c>
      <c r="F122" s="400">
        <v>205.77599999999998</v>
      </c>
      <c r="G122" s="400">
        <v>23.220000000000002</v>
      </c>
      <c r="H122" s="400">
        <v>59.975999999999999</v>
      </c>
      <c r="I122" s="400">
        <v>59.975999999999999</v>
      </c>
      <c r="J122" s="400">
        <v>59.975999999999999</v>
      </c>
      <c r="K122" s="400">
        <v>59.975999999999999</v>
      </c>
      <c r="L122" s="400">
        <f t="shared" si="29"/>
        <v>87.236999999999995</v>
      </c>
      <c r="M122" s="413">
        <f t="shared" si="30"/>
        <v>87.236999999999995</v>
      </c>
      <c r="N122" s="413">
        <f t="shared" si="31"/>
        <v>87.236999999999995</v>
      </c>
      <c r="O122" s="393">
        <f t="shared" si="32"/>
        <v>187.05366247544202</v>
      </c>
      <c r="P122" s="393">
        <f t="shared" si="33"/>
        <v>114.49799999999999</v>
      </c>
      <c r="Q122" s="393">
        <f t="shared" si="34"/>
        <v>41.597999999999999</v>
      </c>
      <c r="R122" s="393">
        <f t="shared" si="35"/>
        <v>59.975999999999999</v>
      </c>
      <c r="S122" s="393">
        <f t="shared" si="36"/>
        <v>66.791249999999991</v>
      </c>
      <c r="T122" s="393">
        <f t="shared" si="37"/>
        <v>87.236999999999995</v>
      </c>
      <c r="U122" s="413">
        <f t="shared" si="38"/>
        <v>87.236999999999995</v>
      </c>
    </row>
    <row r="123" spans="1:21">
      <c r="A123">
        <v>470</v>
      </c>
      <c r="B123">
        <v>117</v>
      </c>
      <c r="C123" t="s">
        <v>195</v>
      </c>
      <c r="D123" s="391">
        <f t="shared" si="28"/>
        <v>0</v>
      </c>
      <c r="E123" s="390">
        <v>0.45129213610500307</v>
      </c>
      <c r="F123" s="400">
        <v>0</v>
      </c>
      <c r="G123" s="400">
        <v>0</v>
      </c>
      <c r="H123" s="400">
        <v>0</v>
      </c>
      <c r="I123" s="400">
        <v>0</v>
      </c>
      <c r="J123" s="400">
        <v>0</v>
      </c>
      <c r="K123" s="400">
        <v>0</v>
      </c>
      <c r="L123" s="400">
        <f t="shared" si="29"/>
        <v>0</v>
      </c>
      <c r="M123" s="413">
        <f t="shared" si="30"/>
        <v>0</v>
      </c>
      <c r="N123" s="413">
        <f t="shared" si="31"/>
        <v>0</v>
      </c>
      <c r="O123" s="393">
        <f t="shared" si="32"/>
        <v>0.22564606805250154</v>
      </c>
      <c r="P123" s="393">
        <f t="shared" si="33"/>
        <v>0</v>
      </c>
      <c r="Q123" s="393">
        <f t="shared" si="34"/>
        <v>0</v>
      </c>
      <c r="R123" s="393">
        <f t="shared" si="35"/>
        <v>0</v>
      </c>
      <c r="S123" s="393">
        <f t="shared" si="36"/>
        <v>0</v>
      </c>
      <c r="T123" s="393">
        <f t="shared" si="37"/>
        <v>0</v>
      </c>
      <c r="U123" s="413">
        <f t="shared" si="38"/>
        <v>0</v>
      </c>
    </row>
    <row r="124" spans="1:21">
      <c r="A124">
        <v>28</v>
      </c>
      <c r="B124">
        <v>118</v>
      </c>
      <c r="C124" t="s">
        <v>519</v>
      </c>
      <c r="D124" s="391">
        <f t="shared" si="28"/>
        <v>0</v>
      </c>
      <c r="E124" s="390">
        <v>4.4626429051782122</v>
      </c>
      <c r="F124" s="400">
        <v>0.72000000000000008</v>
      </c>
      <c r="G124" s="400">
        <v>4.3559999999999999</v>
      </c>
      <c r="H124" s="400">
        <v>0</v>
      </c>
      <c r="I124" s="400">
        <v>0</v>
      </c>
      <c r="J124" s="400">
        <v>0</v>
      </c>
      <c r="K124" s="400">
        <v>0</v>
      </c>
      <c r="L124" s="400">
        <f t="shared" si="29"/>
        <v>1.2689999999999999</v>
      </c>
      <c r="M124" s="413">
        <f t="shared" si="30"/>
        <v>1.2689999999999999</v>
      </c>
      <c r="N124" s="413">
        <f t="shared" si="31"/>
        <v>1.2689999999999999</v>
      </c>
      <c r="O124" s="393">
        <f t="shared" si="32"/>
        <v>2.591321452589106</v>
      </c>
      <c r="P124" s="393">
        <f t="shared" si="33"/>
        <v>2.5379999999999998</v>
      </c>
      <c r="Q124" s="393">
        <f t="shared" si="34"/>
        <v>2.1779999999999999</v>
      </c>
      <c r="R124" s="393">
        <f t="shared" si="35"/>
        <v>0</v>
      </c>
      <c r="S124" s="393">
        <f t="shared" si="36"/>
        <v>0.31724999999999998</v>
      </c>
      <c r="T124" s="393">
        <f t="shared" si="37"/>
        <v>1.2689999999999999</v>
      </c>
      <c r="U124" s="413">
        <f t="shared" si="38"/>
        <v>1.2689999999999999</v>
      </c>
    </row>
    <row r="125" spans="1:21">
      <c r="A125">
        <v>168</v>
      </c>
      <c r="B125">
        <v>119</v>
      </c>
      <c r="C125" t="s">
        <v>196</v>
      </c>
      <c r="D125" s="391">
        <f t="shared" si="28"/>
        <v>66.492000000000004</v>
      </c>
      <c r="E125" s="390">
        <v>165.86135999650406</v>
      </c>
      <c r="F125" s="400">
        <v>98.063999999999993</v>
      </c>
      <c r="G125" s="400">
        <v>86.471999999999994</v>
      </c>
      <c r="H125" s="400">
        <v>66.492000000000004</v>
      </c>
      <c r="I125" s="400">
        <v>66.492000000000004</v>
      </c>
      <c r="J125" s="400">
        <v>66.492000000000004</v>
      </c>
      <c r="K125" s="400">
        <v>66.492000000000004</v>
      </c>
      <c r="L125" s="400">
        <f t="shared" si="29"/>
        <v>79.38000000000001</v>
      </c>
      <c r="M125" s="413">
        <f t="shared" si="30"/>
        <v>79.38000000000001</v>
      </c>
      <c r="N125" s="413">
        <f t="shared" si="31"/>
        <v>79.38000000000001</v>
      </c>
      <c r="O125" s="393">
        <f t="shared" si="32"/>
        <v>131.96267999825204</v>
      </c>
      <c r="P125" s="393">
        <f t="shared" si="33"/>
        <v>92.268000000000001</v>
      </c>
      <c r="Q125" s="393">
        <f t="shared" si="34"/>
        <v>76.481999999999999</v>
      </c>
      <c r="R125" s="393">
        <f t="shared" si="35"/>
        <v>66.492000000000004</v>
      </c>
      <c r="S125" s="393">
        <f t="shared" si="36"/>
        <v>69.713999999999999</v>
      </c>
      <c r="T125" s="393">
        <f t="shared" si="37"/>
        <v>79.38000000000001</v>
      </c>
      <c r="U125" s="413">
        <f t="shared" si="38"/>
        <v>79.38000000000001</v>
      </c>
    </row>
    <row r="126" spans="1:21">
      <c r="A126">
        <v>339</v>
      </c>
      <c r="B126">
        <v>120</v>
      </c>
      <c r="C126" t="s">
        <v>197</v>
      </c>
      <c r="D126" s="391">
        <f t="shared" si="28"/>
        <v>2.484</v>
      </c>
      <c r="E126" s="390">
        <v>8.7937077708652733</v>
      </c>
      <c r="F126" s="400">
        <v>0.6120000000000001</v>
      </c>
      <c r="G126" s="400">
        <v>1.6560000000000001</v>
      </c>
      <c r="H126" s="400">
        <v>2.484</v>
      </c>
      <c r="I126" s="400">
        <v>2.484</v>
      </c>
      <c r="J126" s="400">
        <v>2.484</v>
      </c>
      <c r="K126" s="400">
        <v>2.484</v>
      </c>
      <c r="L126" s="400">
        <f t="shared" si="29"/>
        <v>1.8090000000000002</v>
      </c>
      <c r="M126" s="413">
        <f t="shared" si="30"/>
        <v>1.8090000000000002</v>
      </c>
      <c r="N126" s="413">
        <f t="shared" si="31"/>
        <v>1.8090000000000002</v>
      </c>
      <c r="O126" s="393">
        <f t="shared" si="32"/>
        <v>4.7028538854326367</v>
      </c>
      <c r="P126" s="393">
        <f t="shared" si="33"/>
        <v>1.1340000000000001</v>
      </c>
      <c r="Q126" s="393">
        <f t="shared" si="34"/>
        <v>2.0700000000000003</v>
      </c>
      <c r="R126" s="393">
        <f t="shared" si="35"/>
        <v>2.484</v>
      </c>
      <c r="S126" s="393">
        <f t="shared" si="36"/>
        <v>2.3152499999999998</v>
      </c>
      <c r="T126" s="393">
        <f t="shared" si="37"/>
        <v>1.8090000000000002</v>
      </c>
      <c r="U126" s="413">
        <f t="shared" si="38"/>
        <v>1.8090000000000002</v>
      </c>
    </row>
    <row r="127" spans="1:21">
      <c r="A127">
        <v>369</v>
      </c>
      <c r="B127">
        <v>121</v>
      </c>
      <c r="C127" t="s">
        <v>166</v>
      </c>
      <c r="D127" s="391">
        <f t="shared" si="28"/>
        <v>14.940000000000001</v>
      </c>
      <c r="E127" s="390">
        <v>9.3238679569252589</v>
      </c>
      <c r="F127" s="400">
        <v>3.6000000000000004E-2</v>
      </c>
      <c r="G127" s="400">
        <v>3.42</v>
      </c>
      <c r="H127" s="400">
        <v>14.940000000000001</v>
      </c>
      <c r="I127" s="400">
        <v>14.940000000000001</v>
      </c>
      <c r="J127" s="400">
        <v>14.940000000000001</v>
      </c>
      <c r="K127" s="400">
        <v>14.940000000000001</v>
      </c>
      <c r="L127" s="400">
        <f t="shared" si="29"/>
        <v>8.3339999999999996</v>
      </c>
      <c r="M127" s="413">
        <f t="shared" si="30"/>
        <v>8.3339999999999996</v>
      </c>
      <c r="N127" s="413">
        <f t="shared" si="31"/>
        <v>8.3339999999999996</v>
      </c>
      <c r="O127" s="393">
        <f t="shared" si="32"/>
        <v>4.6799339784626293</v>
      </c>
      <c r="P127" s="393">
        <f t="shared" si="33"/>
        <v>1.728</v>
      </c>
      <c r="Q127" s="393">
        <f t="shared" si="34"/>
        <v>9.18</v>
      </c>
      <c r="R127" s="393">
        <f t="shared" si="35"/>
        <v>14.940000000000001</v>
      </c>
      <c r="S127" s="393">
        <f t="shared" si="36"/>
        <v>13.288500000000003</v>
      </c>
      <c r="T127" s="393">
        <f t="shared" si="37"/>
        <v>8.3339999999999996</v>
      </c>
      <c r="U127" s="413">
        <f t="shared" si="38"/>
        <v>8.3339999999999996</v>
      </c>
    </row>
    <row r="128" spans="1:21">
      <c r="A128">
        <v>471</v>
      </c>
      <c r="B128">
        <v>122</v>
      </c>
      <c r="C128" t="s">
        <v>520</v>
      </c>
      <c r="D128" s="391">
        <f t="shared" si="28"/>
        <v>97.308000000000007</v>
      </c>
      <c r="E128" s="390">
        <v>140.6487113916269</v>
      </c>
      <c r="F128" s="400">
        <v>128.196</v>
      </c>
      <c r="G128" s="400">
        <v>121.392</v>
      </c>
      <c r="H128" s="400">
        <v>97.308000000000007</v>
      </c>
      <c r="I128" s="400">
        <v>97.308000000000007</v>
      </c>
      <c r="J128" s="400">
        <v>97.308000000000007</v>
      </c>
      <c r="K128" s="400">
        <v>97.308000000000007</v>
      </c>
      <c r="L128" s="400">
        <f t="shared" si="29"/>
        <v>111.051</v>
      </c>
      <c r="M128" s="413">
        <f t="shared" si="30"/>
        <v>111.051</v>
      </c>
      <c r="N128" s="413">
        <f t="shared" si="31"/>
        <v>111.051</v>
      </c>
      <c r="O128" s="393">
        <f t="shared" si="32"/>
        <v>134.42235569581345</v>
      </c>
      <c r="P128" s="393">
        <f t="shared" si="33"/>
        <v>124.794</v>
      </c>
      <c r="Q128" s="393">
        <f t="shared" si="34"/>
        <v>109.35</v>
      </c>
      <c r="R128" s="393">
        <f t="shared" si="35"/>
        <v>97.308000000000007</v>
      </c>
      <c r="S128" s="393">
        <f t="shared" si="36"/>
        <v>100.74375000000001</v>
      </c>
      <c r="T128" s="393">
        <f t="shared" si="37"/>
        <v>111.051</v>
      </c>
      <c r="U128" s="413">
        <f t="shared" si="38"/>
        <v>111.051</v>
      </c>
    </row>
    <row r="129" spans="1:21">
      <c r="A129">
        <v>146</v>
      </c>
      <c r="B129">
        <v>123</v>
      </c>
      <c r="C129" t="s">
        <v>10</v>
      </c>
      <c r="D129" s="391">
        <f t="shared" si="28"/>
        <v>0</v>
      </c>
      <c r="E129" s="390">
        <v>1.0946058355985402</v>
      </c>
      <c r="F129" s="400">
        <v>0</v>
      </c>
      <c r="G129" s="400">
        <v>0</v>
      </c>
      <c r="H129" s="400">
        <v>0</v>
      </c>
      <c r="I129" s="400">
        <v>0</v>
      </c>
      <c r="J129" s="400">
        <v>0</v>
      </c>
      <c r="K129" s="400">
        <v>0</v>
      </c>
      <c r="L129" s="400">
        <f t="shared" si="29"/>
        <v>0</v>
      </c>
      <c r="M129" s="413">
        <f t="shared" si="30"/>
        <v>0</v>
      </c>
      <c r="N129" s="413">
        <f t="shared" si="31"/>
        <v>0</v>
      </c>
      <c r="O129" s="393">
        <f t="shared" si="32"/>
        <v>0.54730291779927009</v>
      </c>
      <c r="P129" s="393">
        <f t="shared" si="33"/>
        <v>0</v>
      </c>
      <c r="Q129" s="393">
        <f t="shared" si="34"/>
        <v>0</v>
      </c>
      <c r="R129" s="393">
        <f t="shared" si="35"/>
        <v>0</v>
      </c>
      <c r="S129" s="393">
        <f t="shared" si="36"/>
        <v>0</v>
      </c>
      <c r="T129" s="393">
        <f t="shared" si="37"/>
        <v>0</v>
      </c>
      <c r="U129" s="413">
        <f t="shared" si="38"/>
        <v>0</v>
      </c>
    </row>
    <row r="130" spans="1:21">
      <c r="A130">
        <v>130</v>
      </c>
      <c r="B130">
        <v>124</v>
      </c>
      <c r="C130" t="s">
        <v>98</v>
      </c>
      <c r="D130" s="391">
        <f t="shared" si="28"/>
        <v>19.728000000000002</v>
      </c>
      <c r="E130" s="390">
        <v>23.778107753366029</v>
      </c>
      <c r="F130" s="400">
        <v>38.916000000000004</v>
      </c>
      <c r="G130" s="400">
        <v>23.832000000000001</v>
      </c>
      <c r="H130" s="400">
        <v>19.728000000000002</v>
      </c>
      <c r="I130" s="400">
        <v>19.728000000000002</v>
      </c>
      <c r="J130" s="400">
        <v>19.728000000000002</v>
      </c>
      <c r="K130" s="400">
        <v>19.728000000000002</v>
      </c>
      <c r="L130" s="400">
        <f t="shared" si="29"/>
        <v>25.551000000000002</v>
      </c>
      <c r="M130" s="413">
        <f t="shared" si="30"/>
        <v>25.551000000000002</v>
      </c>
      <c r="N130" s="413">
        <f t="shared" si="31"/>
        <v>25.551000000000002</v>
      </c>
      <c r="O130" s="393">
        <f t="shared" si="32"/>
        <v>31.347053876683017</v>
      </c>
      <c r="P130" s="393">
        <f t="shared" si="33"/>
        <v>31.374000000000002</v>
      </c>
      <c r="Q130" s="393">
        <f t="shared" si="34"/>
        <v>21.78</v>
      </c>
      <c r="R130" s="393">
        <f t="shared" si="35"/>
        <v>19.728000000000002</v>
      </c>
      <c r="S130" s="393">
        <f t="shared" si="36"/>
        <v>21.183750000000003</v>
      </c>
      <c r="T130" s="393">
        <f t="shared" si="37"/>
        <v>25.551000000000002</v>
      </c>
      <c r="U130" s="413">
        <f t="shared" si="38"/>
        <v>25.551000000000002</v>
      </c>
    </row>
    <row r="131" spans="1:21">
      <c r="A131">
        <v>396</v>
      </c>
      <c r="B131">
        <v>125</v>
      </c>
      <c r="C131" t="s">
        <v>8</v>
      </c>
      <c r="D131" s="391">
        <f t="shared" si="28"/>
        <v>82.584000000000003</v>
      </c>
      <c r="E131" s="390">
        <v>91.29053185892586</v>
      </c>
      <c r="F131" s="400">
        <v>82.475999999999999</v>
      </c>
      <c r="G131" s="400">
        <v>88.164000000000001</v>
      </c>
      <c r="H131" s="400">
        <v>82.584000000000003</v>
      </c>
      <c r="I131" s="400">
        <v>82.584000000000003</v>
      </c>
      <c r="J131" s="400">
        <v>82.584000000000003</v>
      </c>
      <c r="K131" s="400">
        <v>82.584000000000003</v>
      </c>
      <c r="L131" s="400">
        <f t="shared" si="29"/>
        <v>83.951999999999998</v>
      </c>
      <c r="M131" s="413">
        <f t="shared" si="30"/>
        <v>83.951999999999998</v>
      </c>
      <c r="N131" s="413">
        <f t="shared" si="31"/>
        <v>83.951999999999998</v>
      </c>
      <c r="O131" s="393">
        <f t="shared" si="32"/>
        <v>86.883265929462937</v>
      </c>
      <c r="P131" s="393">
        <f t="shared" si="33"/>
        <v>85.32</v>
      </c>
      <c r="Q131" s="393">
        <f t="shared" si="34"/>
        <v>85.373999999999995</v>
      </c>
      <c r="R131" s="393">
        <f t="shared" si="35"/>
        <v>82.584000000000003</v>
      </c>
      <c r="S131" s="393">
        <f t="shared" si="36"/>
        <v>82.926000000000002</v>
      </c>
      <c r="T131" s="393">
        <f t="shared" si="37"/>
        <v>83.951999999999998</v>
      </c>
      <c r="U131" s="413">
        <f t="shared" si="38"/>
        <v>83.951999999999998</v>
      </c>
    </row>
    <row r="132" spans="1:21">
      <c r="A132">
        <v>16</v>
      </c>
      <c r="B132">
        <v>126</v>
      </c>
      <c r="C132" t="s">
        <v>205</v>
      </c>
      <c r="D132" s="391">
        <f t="shared" si="28"/>
        <v>65.951999999999998</v>
      </c>
      <c r="E132" s="390">
        <v>157.43700155217016</v>
      </c>
      <c r="F132" s="400">
        <v>65.231999999999999</v>
      </c>
      <c r="G132" s="400">
        <v>68.328000000000003</v>
      </c>
      <c r="H132" s="400">
        <v>65.951999999999998</v>
      </c>
      <c r="I132" s="400">
        <v>65.951999999999998</v>
      </c>
      <c r="J132" s="400">
        <v>65.951999999999998</v>
      </c>
      <c r="K132" s="400">
        <v>65.951999999999998</v>
      </c>
      <c r="L132" s="400">
        <f t="shared" si="29"/>
        <v>66.366</v>
      </c>
      <c r="M132" s="413">
        <f t="shared" si="30"/>
        <v>66.366</v>
      </c>
      <c r="N132" s="413">
        <f t="shared" si="31"/>
        <v>66.366</v>
      </c>
      <c r="O132" s="393">
        <f t="shared" si="32"/>
        <v>111.33450077608508</v>
      </c>
      <c r="P132" s="393">
        <f t="shared" si="33"/>
        <v>66.78</v>
      </c>
      <c r="Q132" s="393">
        <f t="shared" si="34"/>
        <v>67.14</v>
      </c>
      <c r="R132" s="393">
        <f t="shared" si="35"/>
        <v>65.951999999999998</v>
      </c>
      <c r="S132" s="393">
        <f t="shared" si="36"/>
        <v>66.055499999999995</v>
      </c>
      <c r="T132" s="393">
        <f t="shared" si="37"/>
        <v>66.366</v>
      </c>
      <c r="U132" s="413">
        <f t="shared" si="38"/>
        <v>66.366</v>
      </c>
    </row>
    <row r="133" spans="1:21">
      <c r="A133">
        <v>431</v>
      </c>
      <c r="B133">
        <v>127</v>
      </c>
      <c r="C133" t="s">
        <v>206</v>
      </c>
      <c r="D133" s="391">
        <f t="shared" si="28"/>
        <v>48.311999999999998</v>
      </c>
      <c r="E133" s="390">
        <v>68.641627890578008</v>
      </c>
      <c r="F133" s="400">
        <v>53.747999999999998</v>
      </c>
      <c r="G133" s="400">
        <v>39.744</v>
      </c>
      <c r="H133" s="400">
        <v>48.311999999999998</v>
      </c>
      <c r="I133" s="400">
        <v>48.311999999999998</v>
      </c>
      <c r="J133" s="400">
        <v>48.311999999999998</v>
      </c>
      <c r="K133" s="400">
        <v>48.311999999999998</v>
      </c>
      <c r="L133" s="400">
        <f t="shared" si="29"/>
        <v>47.528999999999996</v>
      </c>
      <c r="M133" s="413">
        <f t="shared" si="30"/>
        <v>47.528999999999996</v>
      </c>
      <c r="N133" s="413">
        <f t="shared" si="31"/>
        <v>47.528999999999996</v>
      </c>
      <c r="O133" s="393">
        <f t="shared" si="32"/>
        <v>61.194813945288999</v>
      </c>
      <c r="P133" s="393">
        <f t="shared" si="33"/>
        <v>46.745999999999995</v>
      </c>
      <c r="Q133" s="393">
        <f t="shared" si="34"/>
        <v>44.027999999999999</v>
      </c>
      <c r="R133" s="393">
        <f t="shared" si="35"/>
        <v>48.311999999999998</v>
      </c>
      <c r="S133" s="393">
        <f t="shared" si="36"/>
        <v>48.116249999999994</v>
      </c>
      <c r="T133" s="393">
        <f t="shared" si="37"/>
        <v>47.528999999999996</v>
      </c>
      <c r="U133" s="413">
        <f t="shared" si="38"/>
        <v>47.528999999999996</v>
      </c>
    </row>
    <row r="134" spans="1:21">
      <c r="A134">
        <v>163</v>
      </c>
      <c r="B134">
        <v>128</v>
      </c>
      <c r="C134" t="s">
        <v>207</v>
      </c>
      <c r="D134" s="391">
        <f t="shared" si="28"/>
        <v>65.951999999999998</v>
      </c>
      <c r="E134" s="390">
        <v>67.95308144379689</v>
      </c>
      <c r="F134" s="400">
        <v>65.231999999999999</v>
      </c>
      <c r="G134" s="400">
        <v>68.328000000000003</v>
      </c>
      <c r="H134" s="400">
        <v>65.951999999999998</v>
      </c>
      <c r="I134" s="400">
        <v>65.951999999999998</v>
      </c>
      <c r="J134" s="400">
        <v>65.951999999999998</v>
      </c>
      <c r="K134" s="400">
        <v>65.951999999999998</v>
      </c>
      <c r="L134" s="400">
        <f t="shared" si="29"/>
        <v>66.366</v>
      </c>
      <c r="M134" s="413">
        <f t="shared" si="30"/>
        <v>66.366</v>
      </c>
      <c r="N134" s="413">
        <f t="shared" si="31"/>
        <v>66.366</v>
      </c>
      <c r="O134" s="393">
        <f t="shared" si="32"/>
        <v>66.592540721898445</v>
      </c>
      <c r="P134" s="393">
        <f t="shared" si="33"/>
        <v>66.78</v>
      </c>
      <c r="Q134" s="393">
        <f t="shared" si="34"/>
        <v>67.14</v>
      </c>
      <c r="R134" s="393">
        <f t="shared" si="35"/>
        <v>65.951999999999998</v>
      </c>
      <c r="S134" s="393">
        <f t="shared" si="36"/>
        <v>66.055499999999995</v>
      </c>
      <c r="T134" s="393">
        <f t="shared" si="37"/>
        <v>66.366</v>
      </c>
      <c r="U134" s="413">
        <f t="shared" si="38"/>
        <v>66.366</v>
      </c>
    </row>
    <row r="135" spans="1:21">
      <c r="A135">
        <v>18</v>
      </c>
      <c r="B135">
        <v>129</v>
      </c>
      <c r="C135" t="s">
        <v>208</v>
      </c>
      <c r="D135" s="391">
        <f t="shared" ref="D135:D198" si="39">I135</f>
        <v>3.8880000000000003</v>
      </c>
      <c r="E135" s="390">
        <v>158.01645082952939</v>
      </c>
      <c r="F135" s="400">
        <v>4.968</v>
      </c>
      <c r="G135" s="400">
        <v>1.8</v>
      </c>
      <c r="H135" s="400">
        <v>3.8880000000000003</v>
      </c>
      <c r="I135" s="400">
        <v>3.8880000000000003</v>
      </c>
      <c r="J135" s="400">
        <v>3.8880000000000003</v>
      </c>
      <c r="K135" s="400">
        <v>3.8880000000000003</v>
      </c>
      <c r="L135" s="400">
        <f t="shared" ref="L135:L198" si="40">AVERAGE(F135:I135)</f>
        <v>3.6360000000000001</v>
      </c>
      <c r="M135" s="413">
        <f t="shared" ref="M135:M198" si="41">L135</f>
        <v>3.6360000000000001</v>
      </c>
      <c r="N135" s="413">
        <f t="shared" ref="N135:N198" si="42">L135</f>
        <v>3.6360000000000001</v>
      </c>
      <c r="O135" s="393">
        <f t="shared" ref="O135:O198" si="43">AVERAGE(E135:F135)</f>
        <v>81.49222541476469</v>
      </c>
      <c r="P135" s="393">
        <f t="shared" ref="P135:P198" si="44">AVERAGE(F135:G135)</f>
        <v>3.3839999999999999</v>
      </c>
      <c r="Q135" s="393">
        <f t="shared" ref="Q135:Q198" si="45">AVERAGE(G135:H135)</f>
        <v>2.8440000000000003</v>
      </c>
      <c r="R135" s="393">
        <f t="shared" ref="R135:R198" si="46">AVERAGE(H135:I135)</f>
        <v>3.8880000000000003</v>
      </c>
      <c r="S135" s="393">
        <f t="shared" ref="S135:S198" si="47">AVERAGE(I135:L135)</f>
        <v>3.8250000000000002</v>
      </c>
      <c r="T135" s="393">
        <f t="shared" si="37"/>
        <v>3.6360000000000001</v>
      </c>
      <c r="U135" s="413">
        <f t="shared" si="38"/>
        <v>3.6360000000000001</v>
      </c>
    </row>
    <row r="136" spans="1:21">
      <c r="A136">
        <v>403</v>
      </c>
      <c r="B136">
        <v>130</v>
      </c>
      <c r="C136" t="s">
        <v>209</v>
      </c>
      <c r="D136" s="391">
        <f t="shared" si="39"/>
        <v>4.8600000000000003</v>
      </c>
      <c r="E136" s="390">
        <v>2.631308178249848</v>
      </c>
      <c r="F136" s="400">
        <v>1.512</v>
      </c>
      <c r="G136" s="400">
        <v>3.528</v>
      </c>
      <c r="H136" s="400">
        <v>4.8600000000000003</v>
      </c>
      <c r="I136" s="400">
        <v>4.8600000000000003</v>
      </c>
      <c r="J136" s="400">
        <v>4.8600000000000003</v>
      </c>
      <c r="K136" s="400">
        <v>4.8600000000000003</v>
      </c>
      <c r="L136" s="400">
        <f t="shared" si="40"/>
        <v>3.6900000000000004</v>
      </c>
      <c r="M136" s="413">
        <f t="shared" si="41"/>
        <v>3.6900000000000004</v>
      </c>
      <c r="N136" s="413">
        <f t="shared" si="42"/>
        <v>3.6900000000000004</v>
      </c>
      <c r="O136" s="393">
        <f t="shared" si="43"/>
        <v>2.071654089124924</v>
      </c>
      <c r="P136" s="393">
        <f t="shared" si="44"/>
        <v>2.52</v>
      </c>
      <c r="Q136" s="393">
        <f t="shared" si="45"/>
        <v>4.194</v>
      </c>
      <c r="R136" s="393">
        <f t="shared" si="46"/>
        <v>4.8600000000000003</v>
      </c>
      <c r="S136" s="393">
        <f t="shared" si="47"/>
        <v>4.5675000000000008</v>
      </c>
      <c r="T136" s="393">
        <f t="shared" ref="T136:T199" si="48">N136</f>
        <v>3.6900000000000004</v>
      </c>
      <c r="U136" s="413">
        <f t="shared" ref="U136:U199" si="49">N136</f>
        <v>3.6900000000000004</v>
      </c>
    </row>
    <row r="137" spans="1:21">
      <c r="A137">
        <v>296</v>
      </c>
      <c r="B137">
        <v>131</v>
      </c>
      <c r="C137" t="s">
        <v>210</v>
      </c>
      <c r="D137" s="391">
        <f t="shared" si="39"/>
        <v>6.2279999999999998</v>
      </c>
      <c r="E137" s="390">
        <v>7.2448823625743744E-2</v>
      </c>
      <c r="F137" s="400">
        <v>0</v>
      </c>
      <c r="G137" s="400">
        <v>0</v>
      </c>
      <c r="H137" s="400">
        <v>6.2279999999999998</v>
      </c>
      <c r="I137" s="400">
        <v>6.2279999999999998</v>
      </c>
      <c r="J137" s="400">
        <v>6.2279999999999998</v>
      </c>
      <c r="K137" s="400">
        <v>6.2279999999999998</v>
      </c>
      <c r="L137" s="400">
        <f t="shared" si="40"/>
        <v>3.1139999999999999</v>
      </c>
      <c r="M137" s="413">
        <f t="shared" si="41"/>
        <v>3.1139999999999999</v>
      </c>
      <c r="N137" s="413">
        <f t="shared" si="42"/>
        <v>3.1139999999999999</v>
      </c>
      <c r="O137" s="393">
        <f t="shared" si="43"/>
        <v>3.6224411812871872E-2</v>
      </c>
      <c r="P137" s="393">
        <f t="shared" si="44"/>
        <v>0</v>
      </c>
      <c r="Q137" s="393">
        <f t="shared" si="45"/>
        <v>3.1139999999999999</v>
      </c>
      <c r="R137" s="393">
        <f t="shared" si="46"/>
        <v>6.2279999999999998</v>
      </c>
      <c r="S137" s="393">
        <f t="shared" si="47"/>
        <v>5.4494999999999996</v>
      </c>
      <c r="T137" s="393">
        <f t="shared" si="48"/>
        <v>3.1139999999999999</v>
      </c>
      <c r="U137" s="413">
        <f t="shared" si="49"/>
        <v>3.1139999999999999</v>
      </c>
    </row>
    <row r="138" spans="1:21">
      <c r="A138">
        <v>284</v>
      </c>
      <c r="B138">
        <v>132</v>
      </c>
      <c r="C138" t="s">
        <v>211</v>
      </c>
      <c r="D138" s="391">
        <f t="shared" si="39"/>
        <v>55.943999999999996</v>
      </c>
      <c r="E138" s="390">
        <v>52.389034463270171</v>
      </c>
      <c r="F138" s="400">
        <v>55.800000000000004</v>
      </c>
      <c r="G138" s="400">
        <v>52.271999999999998</v>
      </c>
      <c r="H138" s="400">
        <v>55.943999999999996</v>
      </c>
      <c r="I138" s="400">
        <v>55.943999999999996</v>
      </c>
      <c r="J138" s="400">
        <v>55.943999999999996</v>
      </c>
      <c r="K138" s="400">
        <v>55.943999999999996</v>
      </c>
      <c r="L138" s="400">
        <f t="shared" si="40"/>
        <v>54.989999999999995</v>
      </c>
      <c r="M138" s="413">
        <f t="shared" si="41"/>
        <v>54.989999999999995</v>
      </c>
      <c r="N138" s="413">
        <f t="shared" si="42"/>
        <v>54.989999999999995</v>
      </c>
      <c r="O138" s="393">
        <f t="shared" si="43"/>
        <v>54.094517231635088</v>
      </c>
      <c r="P138" s="393">
        <f t="shared" si="44"/>
        <v>54.036000000000001</v>
      </c>
      <c r="Q138" s="393">
        <f t="shared" si="45"/>
        <v>54.107999999999997</v>
      </c>
      <c r="R138" s="393">
        <f t="shared" si="46"/>
        <v>55.943999999999996</v>
      </c>
      <c r="S138" s="393">
        <f t="shared" si="47"/>
        <v>55.705500000000001</v>
      </c>
      <c r="T138" s="393">
        <f t="shared" si="48"/>
        <v>54.989999999999995</v>
      </c>
      <c r="U138" s="413">
        <f t="shared" si="49"/>
        <v>54.989999999999995</v>
      </c>
    </row>
    <row r="139" spans="1:21">
      <c r="A139">
        <v>457</v>
      </c>
      <c r="B139">
        <v>133</v>
      </c>
      <c r="C139" t="s">
        <v>213</v>
      </c>
      <c r="D139" s="391">
        <f t="shared" si="39"/>
        <v>141.26400000000001</v>
      </c>
      <c r="E139" s="390">
        <v>161.6388822490394</v>
      </c>
      <c r="F139" s="400">
        <v>138.816</v>
      </c>
      <c r="G139" s="400">
        <v>139.86000000000001</v>
      </c>
      <c r="H139" s="400">
        <v>141.26400000000001</v>
      </c>
      <c r="I139" s="400">
        <v>141.26400000000001</v>
      </c>
      <c r="J139" s="400">
        <v>141.26400000000001</v>
      </c>
      <c r="K139" s="400">
        <v>141.26400000000001</v>
      </c>
      <c r="L139" s="400">
        <f t="shared" si="40"/>
        <v>140.30100000000002</v>
      </c>
      <c r="M139" s="413">
        <f t="shared" si="41"/>
        <v>140.30100000000002</v>
      </c>
      <c r="N139" s="413">
        <f t="shared" si="42"/>
        <v>140.30100000000002</v>
      </c>
      <c r="O139" s="393">
        <f t="shared" si="43"/>
        <v>150.22744112451971</v>
      </c>
      <c r="P139" s="393">
        <f t="shared" si="44"/>
        <v>139.33800000000002</v>
      </c>
      <c r="Q139" s="393">
        <f t="shared" si="45"/>
        <v>140.56200000000001</v>
      </c>
      <c r="R139" s="393">
        <f t="shared" si="46"/>
        <v>141.26400000000001</v>
      </c>
      <c r="S139" s="393">
        <f t="shared" si="47"/>
        <v>141.02325000000002</v>
      </c>
      <c r="T139" s="393">
        <f t="shared" si="48"/>
        <v>140.30100000000002</v>
      </c>
      <c r="U139" s="413">
        <f t="shared" si="49"/>
        <v>140.30100000000002</v>
      </c>
    </row>
    <row r="140" spans="1:21">
      <c r="A140">
        <v>298</v>
      </c>
      <c r="B140">
        <v>134</v>
      </c>
      <c r="C140" t="s">
        <v>214</v>
      </c>
      <c r="D140" s="391">
        <f t="shared" si="39"/>
        <v>0</v>
      </c>
      <c r="E140" s="390">
        <v>0</v>
      </c>
      <c r="F140" s="400">
        <v>0</v>
      </c>
      <c r="G140" s="400">
        <v>0</v>
      </c>
      <c r="H140" s="400">
        <v>0</v>
      </c>
      <c r="I140" s="400">
        <v>0</v>
      </c>
      <c r="J140" s="400">
        <v>0</v>
      </c>
      <c r="K140" s="400">
        <v>0</v>
      </c>
      <c r="L140" s="400">
        <f t="shared" si="40"/>
        <v>0</v>
      </c>
      <c r="M140" s="413">
        <f t="shared" si="41"/>
        <v>0</v>
      </c>
      <c r="N140" s="413">
        <f t="shared" si="42"/>
        <v>0</v>
      </c>
      <c r="O140" s="393">
        <f t="shared" si="43"/>
        <v>0</v>
      </c>
      <c r="P140" s="393">
        <f t="shared" si="44"/>
        <v>0</v>
      </c>
      <c r="Q140" s="393">
        <f t="shared" si="45"/>
        <v>0</v>
      </c>
      <c r="R140" s="393">
        <f t="shared" si="46"/>
        <v>0</v>
      </c>
      <c r="S140" s="393">
        <f t="shared" si="47"/>
        <v>0</v>
      </c>
      <c r="T140" s="393">
        <f t="shared" si="48"/>
        <v>0</v>
      </c>
      <c r="U140" s="413">
        <f t="shared" si="49"/>
        <v>0</v>
      </c>
    </row>
    <row r="141" spans="1:21">
      <c r="A141">
        <v>300</v>
      </c>
      <c r="B141">
        <v>135</v>
      </c>
      <c r="C141" t="s">
        <v>138</v>
      </c>
      <c r="D141" s="391">
        <f t="shared" si="39"/>
        <v>0.54</v>
      </c>
      <c r="E141" s="390">
        <v>1.9027813620071681</v>
      </c>
      <c r="F141" s="400">
        <v>2.1960000000000002</v>
      </c>
      <c r="G141" s="400">
        <v>0.72000000000000008</v>
      </c>
      <c r="H141" s="400">
        <v>0.54</v>
      </c>
      <c r="I141" s="400">
        <v>0.54</v>
      </c>
      <c r="J141" s="400">
        <v>0.54</v>
      </c>
      <c r="K141" s="400">
        <v>0.54</v>
      </c>
      <c r="L141" s="400">
        <f t="shared" si="40"/>
        <v>0.99900000000000011</v>
      </c>
      <c r="M141" s="413">
        <f t="shared" si="41"/>
        <v>0.99900000000000011</v>
      </c>
      <c r="N141" s="413">
        <f t="shared" si="42"/>
        <v>0.99900000000000011</v>
      </c>
      <c r="O141" s="393">
        <f t="shared" si="43"/>
        <v>2.049390681003584</v>
      </c>
      <c r="P141" s="393">
        <f t="shared" si="44"/>
        <v>1.4580000000000002</v>
      </c>
      <c r="Q141" s="393">
        <f t="shared" si="45"/>
        <v>0.63000000000000012</v>
      </c>
      <c r="R141" s="393">
        <f t="shared" si="46"/>
        <v>0.54</v>
      </c>
      <c r="S141" s="393">
        <f t="shared" si="47"/>
        <v>0.65475000000000005</v>
      </c>
      <c r="T141" s="393">
        <f t="shared" si="48"/>
        <v>0.99900000000000011</v>
      </c>
      <c r="U141" s="413">
        <f t="shared" si="49"/>
        <v>0.99900000000000011</v>
      </c>
    </row>
    <row r="142" spans="1:21">
      <c r="A142">
        <v>160</v>
      </c>
      <c r="B142">
        <v>136</v>
      </c>
      <c r="C142" t="s">
        <v>127</v>
      </c>
      <c r="D142" s="391">
        <f t="shared" si="39"/>
        <v>51.408000000000001</v>
      </c>
      <c r="E142" s="390">
        <v>105.82331412073775</v>
      </c>
      <c r="F142" s="400">
        <v>57.708000000000006</v>
      </c>
      <c r="G142" s="400">
        <v>43.092000000000006</v>
      </c>
      <c r="H142" s="400">
        <v>51.408000000000001</v>
      </c>
      <c r="I142" s="400">
        <v>51.408000000000001</v>
      </c>
      <c r="J142" s="400">
        <v>51.408000000000001</v>
      </c>
      <c r="K142" s="400">
        <v>51.408000000000001</v>
      </c>
      <c r="L142" s="400">
        <f t="shared" si="40"/>
        <v>50.904000000000011</v>
      </c>
      <c r="M142" s="413">
        <f t="shared" si="41"/>
        <v>50.904000000000011</v>
      </c>
      <c r="N142" s="413">
        <f t="shared" si="42"/>
        <v>50.904000000000011</v>
      </c>
      <c r="O142" s="393">
        <f t="shared" si="43"/>
        <v>81.765657060368881</v>
      </c>
      <c r="P142" s="393">
        <f t="shared" si="44"/>
        <v>50.400000000000006</v>
      </c>
      <c r="Q142" s="393">
        <f t="shared" si="45"/>
        <v>47.25</v>
      </c>
      <c r="R142" s="393">
        <f t="shared" si="46"/>
        <v>51.408000000000001</v>
      </c>
      <c r="S142" s="393">
        <f t="shared" si="47"/>
        <v>51.281999999999996</v>
      </c>
      <c r="T142" s="393">
        <f t="shared" si="48"/>
        <v>50.904000000000011</v>
      </c>
      <c r="U142" s="413">
        <f t="shared" si="49"/>
        <v>50.904000000000011</v>
      </c>
    </row>
    <row r="143" spans="1:21">
      <c r="A143">
        <v>43</v>
      </c>
      <c r="B143">
        <v>137</v>
      </c>
      <c r="C143" t="s">
        <v>215</v>
      </c>
      <c r="D143" s="391">
        <f t="shared" si="39"/>
        <v>171.864</v>
      </c>
      <c r="E143" s="390">
        <v>177.33970610211705</v>
      </c>
      <c r="F143" s="400">
        <v>138.78</v>
      </c>
      <c r="G143" s="400">
        <v>167.72400000000002</v>
      </c>
      <c r="H143" s="400">
        <v>171.864</v>
      </c>
      <c r="I143" s="400">
        <v>171.864</v>
      </c>
      <c r="J143" s="400">
        <v>171.864</v>
      </c>
      <c r="K143" s="400">
        <v>171.864</v>
      </c>
      <c r="L143" s="400">
        <f t="shared" si="40"/>
        <v>162.55800000000002</v>
      </c>
      <c r="M143" s="413">
        <f t="shared" si="41"/>
        <v>162.55800000000002</v>
      </c>
      <c r="N143" s="413">
        <f t="shared" si="42"/>
        <v>162.55800000000002</v>
      </c>
      <c r="O143" s="393">
        <f t="shared" si="43"/>
        <v>158.05985305105852</v>
      </c>
      <c r="P143" s="393">
        <f t="shared" si="44"/>
        <v>153.25200000000001</v>
      </c>
      <c r="Q143" s="393">
        <f t="shared" si="45"/>
        <v>169.79400000000001</v>
      </c>
      <c r="R143" s="393">
        <f t="shared" si="46"/>
        <v>171.864</v>
      </c>
      <c r="S143" s="393">
        <f t="shared" si="47"/>
        <v>169.53749999999999</v>
      </c>
      <c r="T143" s="393">
        <f t="shared" si="48"/>
        <v>162.55800000000002</v>
      </c>
      <c r="U143" s="413">
        <f t="shared" si="49"/>
        <v>162.55800000000002</v>
      </c>
    </row>
    <row r="144" spans="1:21">
      <c r="A144">
        <v>172</v>
      </c>
      <c r="B144">
        <v>138</v>
      </c>
      <c r="C144" t="s">
        <v>482</v>
      </c>
      <c r="D144" s="391">
        <f t="shared" si="39"/>
        <v>15.803999999999998</v>
      </c>
      <c r="E144" s="390">
        <v>16.760448542343976</v>
      </c>
      <c r="F144" s="400">
        <v>19.764000000000003</v>
      </c>
      <c r="G144" s="400">
        <v>5.4720000000000004</v>
      </c>
      <c r="H144" s="400">
        <v>15.803999999999998</v>
      </c>
      <c r="I144" s="400">
        <v>15.803999999999998</v>
      </c>
      <c r="J144" s="400">
        <v>15.803999999999998</v>
      </c>
      <c r="K144" s="400">
        <v>15.803999999999998</v>
      </c>
      <c r="L144" s="400">
        <f t="shared" si="40"/>
        <v>14.211000000000002</v>
      </c>
      <c r="M144" s="413">
        <f t="shared" si="41"/>
        <v>14.211000000000002</v>
      </c>
      <c r="N144" s="413">
        <f t="shared" si="42"/>
        <v>14.211000000000002</v>
      </c>
      <c r="O144" s="393">
        <f t="shared" si="43"/>
        <v>18.262224271171988</v>
      </c>
      <c r="P144" s="393">
        <f t="shared" si="44"/>
        <v>12.618000000000002</v>
      </c>
      <c r="Q144" s="393">
        <f t="shared" si="45"/>
        <v>10.638</v>
      </c>
      <c r="R144" s="393">
        <f t="shared" si="46"/>
        <v>15.803999999999998</v>
      </c>
      <c r="S144" s="393">
        <f t="shared" si="47"/>
        <v>15.405749999999998</v>
      </c>
      <c r="T144" s="393">
        <f t="shared" si="48"/>
        <v>14.211000000000002</v>
      </c>
      <c r="U144" s="413">
        <f t="shared" si="49"/>
        <v>14.211000000000002</v>
      </c>
    </row>
    <row r="145" spans="1:21">
      <c r="A145">
        <v>131</v>
      </c>
      <c r="B145">
        <v>139</v>
      </c>
      <c r="C145" t="s">
        <v>216</v>
      </c>
      <c r="D145" s="391">
        <f t="shared" si="39"/>
        <v>0</v>
      </c>
      <c r="E145" s="390">
        <v>0</v>
      </c>
      <c r="F145" s="400">
        <v>0</v>
      </c>
      <c r="G145" s="400">
        <v>0</v>
      </c>
      <c r="H145" s="400">
        <v>0</v>
      </c>
      <c r="I145" s="400">
        <v>0</v>
      </c>
      <c r="J145" s="400">
        <v>0</v>
      </c>
      <c r="K145" s="400">
        <v>0</v>
      </c>
      <c r="L145" s="400">
        <f t="shared" si="40"/>
        <v>0</v>
      </c>
      <c r="M145" s="413">
        <f t="shared" si="41"/>
        <v>0</v>
      </c>
      <c r="N145" s="413">
        <f t="shared" si="42"/>
        <v>0</v>
      </c>
      <c r="O145" s="393">
        <f t="shared" si="43"/>
        <v>0</v>
      </c>
      <c r="P145" s="393">
        <f t="shared" si="44"/>
        <v>0</v>
      </c>
      <c r="Q145" s="393">
        <f t="shared" si="45"/>
        <v>0</v>
      </c>
      <c r="R145" s="393">
        <f t="shared" si="46"/>
        <v>0</v>
      </c>
      <c r="S145" s="393">
        <f t="shared" si="47"/>
        <v>0</v>
      </c>
      <c r="T145" s="393">
        <f t="shared" si="48"/>
        <v>0</v>
      </c>
      <c r="U145" s="413">
        <f t="shared" si="49"/>
        <v>0</v>
      </c>
    </row>
    <row r="146" spans="1:21">
      <c r="A146">
        <v>61</v>
      </c>
      <c r="B146">
        <v>140</v>
      </c>
      <c r="C146" t="s">
        <v>167</v>
      </c>
      <c r="D146" s="391">
        <f t="shared" si="39"/>
        <v>6.6960000000000006</v>
      </c>
      <c r="E146" s="390">
        <v>13.133330899482416</v>
      </c>
      <c r="F146" s="400">
        <v>1.0080000000000002</v>
      </c>
      <c r="G146" s="400">
        <v>0.57600000000000007</v>
      </c>
      <c r="H146" s="400">
        <v>6.6960000000000006</v>
      </c>
      <c r="I146" s="400">
        <v>6.6960000000000006</v>
      </c>
      <c r="J146" s="400">
        <v>6.6960000000000006</v>
      </c>
      <c r="K146" s="400">
        <v>6.6960000000000006</v>
      </c>
      <c r="L146" s="400">
        <f t="shared" si="40"/>
        <v>3.7440000000000007</v>
      </c>
      <c r="M146" s="413">
        <f t="shared" si="41"/>
        <v>3.7440000000000007</v>
      </c>
      <c r="N146" s="413">
        <f t="shared" si="42"/>
        <v>3.7440000000000007</v>
      </c>
      <c r="O146" s="393">
        <f t="shared" si="43"/>
        <v>7.0706654497412087</v>
      </c>
      <c r="P146" s="393">
        <f t="shared" si="44"/>
        <v>0.79200000000000015</v>
      </c>
      <c r="Q146" s="393">
        <f t="shared" si="45"/>
        <v>3.6360000000000001</v>
      </c>
      <c r="R146" s="393">
        <f t="shared" si="46"/>
        <v>6.6960000000000006</v>
      </c>
      <c r="S146" s="393">
        <f t="shared" si="47"/>
        <v>5.9580000000000002</v>
      </c>
      <c r="T146" s="393">
        <f t="shared" si="48"/>
        <v>3.7440000000000007</v>
      </c>
      <c r="U146" s="413">
        <f t="shared" si="49"/>
        <v>3.7440000000000007</v>
      </c>
    </row>
    <row r="147" spans="1:21">
      <c r="A147">
        <v>406</v>
      </c>
      <c r="B147">
        <v>141</v>
      </c>
      <c r="C147" t="s">
        <v>217</v>
      </c>
      <c r="D147" s="391">
        <f t="shared" si="39"/>
        <v>102.42</v>
      </c>
      <c r="E147" s="390">
        <v>102.59999999999998</v>
      </c>
      <c r="F147" s="400">
        <v>102.42</v>
      </c>
      <c r="G147" s="400">
        <v>102.42</v>
      </c>
      <c r="H147" s="400">
        <v>102.42</v>
      </c>
      <c r="I147" s="400">
        <v>102.42</v>
      </c>
      <c r="J147" s="400">
        <v>102.42</v>
      </c>
      <c r="K147" s="400">
        <v>102.42</v>
      </c>
      <c r="L147" s="400">
        <f t="shared" si="40"/>
        <v>102.42</v>
      </c>
      <c r="M147" s="413">
        <f t="shared" si="41"/>
        <v>102.42</v>
      </c>
      <c r="N147" s="413">
        <f t="shared" si="42"/>
        <v>102.42</v>
      </c>
      <c r="O147" s="393">
        <f t="shared" si="43"/>
        <v>102.50999999999999</v>
      </c>
      <c r="P147" s="393">
        <f t="shared" si="44"/>
        <v>102.42</v>
      </c>
      <c r="Q147" s="393">
        <f t="shared" si="45"/>
        <v>102.42</v>
      </c>
      <c r="R147" s="393">
        <f t="shared" si="46"/>
        <v>102.42</v>
      </c>
      <c r="S147" s="393">
        <f t="shared" si="47"/>
        <v>102.42</v>
      </c>
      <c r="T147" s="393">
        <f t="shared" si="48"/>
        <v>102.42</v>
      </c>
      <c r="U147" s="413">
        <f t="shared" si="49"/>
        <v>102.42</v>
      </c>
    </row>
    <row r="148" spans="1:21">
      <c r="A148">
        <v>148</v>
      </c>
      <c r="B148">
        <v>142</v>
      </c>
      <c r="C148" t="s">
        <v>521</v>
      </c>
      <c r="D148" s="391">
        <f t="shared" si="39"/>
        <v>101.52</v>
      </c>
      <c r="E148" s="390">
        <v>127.75969263092526</v>
      </c>
      <c r="F148" s="400">
        <v>104.76</v>
      </c>
      <c r="G148" s="400">
        <v>88.812000000000012</v>
      </c>
      <c r="H148" s="400">
        <v>101.52</v>
      </c>
      <c r="I148" s="400">
        <v>101.52</v>
      </c>
      <c r="J148" s="400">
        <v>101.52</v>
      </c>
      <c r="K148" s="400">
        <v>101.52</v>
      </c>
      <c r="L148" s="400">
        <f t="shared" si="40"/>
        <v>99.152999999999992</v>
      </c>
      <c r="M148" s="413">
        <f t="shared" si="41"/>
        <v>99.152999999999992</v>
      </c>
      <c r="N148" s="413">
        <f t="shared" si="42"/>
        <v>99.152999999999992</v>
      </c>
      <c r="O148" s="393">
        <f t="shared" si="43"/>
        <v>116.25984631546262</v>
      </c>
      <c r="P148" s="393">
        <f t="shared" si="44"/>
        <v>96.786000000000001</v>
      </c>
      <c r="Q148" s="393">
        <f t="shared" si="45"/>
        <v>95.165999999999997</v>
      </c>
      <c r="R148" s="393">
        <f t="shared" si="46"/>
        <v>101.52</v>
      </c>
      <c r="S148" s="393">
        <f t="shared" si="47"/>
        <v>100.92824999999999</v>
      </c>
      <c r="T148" s="393">
        <f t="shared" si="48"/>
        <v>99.152999999999992</v>
      </c>
      <c r="U148" s="413">
        <f t="shared" si="49"/>
        <v>99.152999999999992</v>
      </c>
    </row>
    <row r="149" spans="1:21">
      <c r="A149">
        <v>394</v>
      </c>
      <c r="B149">
        <v>143</v>
      </c>
      <c r="C149" t="s">
        <v>218</v>
      </c>
      <c r="D149" s="391">
        <f t="shared" si="39"/>
        <v>6.5880000000000001</v>
      </c>
      <c r="E149" s="390">
        <v>119.64732251779689</v>
      </c>
      <c r="F149" s="400">
        <v>4.0320000000000009</v>
      </c>
      <c r="G149" s="400">
        <v>2.6280000000000001</v>
      </c>
      <c r="H149" s="400">
        <v>6.5880000000000001</v>
      </c>
      <c r="I149" s="400">
        <v>6.5880000000000001</v>
      </c>
      <c r="J149" s="400">
        <v>6.5880000000000001</v>
      </c>
      <c r="K149" s="400">
        <v>6.5880000000000001</v>
      </c>
      <c r="L149" s="400">
        <f t="shared" si="40"/>
        <v>4.9590000000000005</v>
      </c>
      <c r="M149" s="413">
        <f t="shared" si="41"/>
        <v>4.9590000000000005</v>
      </c>
      <c r="N149" s="413">
        <f t="shared" si="42"/>
        <v>4.9590000000000005</v>
      </c>
      <c r="O149" s="393">
        <f t="shared" si="43"/>
        <v>61.839661258898445</v>
      </c>
      <c r="P149" s="393">
        <f t="shared" si="44"/>
        <v>3.3300000000000005</v>
      </c>
      <c r="Q149" s="393">
        <f t="shared" si="45"/>
        <v>4.6080000000000005</v>
      </c>
      <c r="R149" s="393">
        <f t="shared" si="46"/>
        <v>6.5880000000000001</v>
      </c>
      <c r="S149" s="393">
        <f t="shared" si="47"/>
        <v>6.1807499999999997</v>
      </c>
      <c r="T149" s="393">
        <f t="shared" si="48"/>
        <v>4.9590000000000005</v>
      </c>
      <c r="U149" s="413">
        <f t="shared" si="49"/>
        <v>4.9590000000000005</v>
      </c>
    </row>
    <row r="150" spans="1:21">
      <c r="A150">
        <v>420</v>
      </c>
      <c r="B150">
        <v>144</v>
      </c>
      <c r="C150" t="s">
        <v>219</v>
      </c>
      <c r="D150" s="391">
        <f t="shared" si="39"/>
        <v>0</v>
      </c>
      <c r="E150" s="390">
        <v>0</v>
      </c>
      <c r="F150" s="400">
        <v>0</v>
      </c>
      <c r="G150" s="400">
        <v>0</v>
      </c>
      <c r="H150" s="400">
        <v>0</v>
      </c>
      <c r="I150" s="400">
        <v>0</v>
      </c>
      <c r="J150" s="400">
        <v>0</v>
      </c>
      <c r="K150" s="400">
        <v>0</v>
      </c>
      <c r="L150" s="400">
        <f t="shared" si="40"/>
        <v>0</v>
      </c>
      <c r="M150" s="413">
        <f t="shared" si="41"/>
        <v>0</v>
      </c>
      <c r="N150" s="413">
        <f t="shared" si="42"/>
        <v>0</v>
      </c>
      <c r="O150" s="393">
        <f t="shared" si="43"/>
        <v>0</v>
      </c>
      <c r="P150" s="393">
        <f t="shared" si="44"/>
        <v>0</v>
      </c>
      <c r="Q150" s="393">
        <f t="shared" si="45"/>
        <v>0</v>
      </c>
      <c r="R150" s="393">
        <f t="shared" si="46"/>
        <v>0</v>
      </c>
      <c r="S150" s="393">
        <f t="shared" si="47"/>
        <v>0</v>
      </c>
      <c r="T150" s="393">
        <f t="shared" si="48"/>
        <v>0</v>
      </c>
      <c r="U150" s="413">
        <f t="shared" si="49"/>
        <v>0</v>
      </c>
    </row>
    <row r="151" spans="1:21">
      <c r="A151">
        <v>143</v>
      </c>
      <c r="B151">
        <v>145</v>
      </c>
      <c r="C151" t="s">
        <v>220</v>
      </c>
      <c r="D151" s="391">
        <f t="shared" si="39"/>
        <v>24.192</v>
      </c>
      <c r="E151" s="390">
        <v>2.3079683178427928</v>
      </c>
      <c r="F151" s="400">
        <v>11.700000000000001</v>
      </c>
      <c r="G151" s="400">
        <v>3.0960000000000001</v>
      </c>
      <c r="H151" s="400">
        <v>24.192</v>
      </c>
      <c r="I151" s="400">
        <v>24.192</v>
      </c>
      <c r="J151" s="400">
        <v>24.192</v>
      </c>
      <c r="K151" s="400">
        <v>24.192</v>
      </c>
      <c r="L151" s="400">
        <f t="shared" si="40"/>
        <v>15.795</v>
      </c>
      <c r="M151" s="413">
        <f t="shared" si="41"/>
        <v>15.795</v>
      </c>
      <c r="N151" s="413">
        <f t="shared" si="42"/>
        <v>15.795</v>
      </c>
      <c r="O151" s="393">
        <f t="shared" si="43"/>
        <v>7.0039841589213969</v>
      </c>
      <c r="P151" s="393">
        <f t="shared" si="44"/>
        <v>7.3980000000000006</v>
      </c>
      <c r="Q151" s="393">
        <f t="shared" si="45"/>
        <v>13.644</v>
      </c>
      <c r="R151" s="393">
        <f t="shared" si="46"/>
        <v>24.192</v>
      </c>
      <c r="S151" s="393">
        <f t="shared" si="47"/>
        <v>22.092749999999999</v>
      </c>
      <c r="T151" s="393">
        <f t="shared" si="48"/>
        <v>15.795</v>
      </c>
      <c r="U151" s="413">
        <f t="shared" si="49"/>
        <v>15.795</v>
      </c>
    </row>
    <row r="152" spans="1:21">
      <c r="A152">
        <v>398</v>
      </c>
      <c r="B152">
        <v>146</v>
      </c>
      <c r="C152" t="s">
        <v>221</v>
      </c>
      <c r="D152" s="391">
        <f t="shared" si="39"/>
        <v>43.056000000000004</v>
      </c>
      <c r="E152" s="390">
        <v>33.967937667153123</v>
      </c>
      <c r="F152" s="400">
        <v>32.004000000000005</v>
      </c>
      <c r="G152" s="400">
        <v>31.607999999999997</v>
      </c>
      <c r="H152" s="400">
        <v>43.056000000000004</v>
      </c>
      <c r="I152" s="400">
        <v>43.056000000000004</v>
      </c>
      <c r="J152" s="400">
        <v>43.056000000000004</v>
      </c>
      <c r="K152" s="400">
        <v>43.056000000000004</v>
      </c>
      <c r="L152" s="400">
        <f t="shared" si="40"/>
        <v>37.431000000000004</v>
      </c>
      <c r="M152" s="413">
        <f t="shared" si="41"/>
        <v>37.431000000000004</v>
      </c>
      <c r="N152" s="413">
        <f t="shared" si="42"/>
        <v>37.431000000000004</v>
      </c>
      <c r="O152" s="393">
        <f t="shared" si="43"/>
        <v>32.985968833576564</v>
      </c>
      <c r="P152" s="393">
        <f t="shared" si="44"/>
        <v>31.806000000000001</v>
      </c>
      <c r="Q152" s="393">
        <f t="shared" si="45"/>
        <v>37.332000000000001</v>
      </c>
      <c r="R152" s="393">
        <f t="shared" si="46"/>
        <v>43.056000000000004</v>
      </c>
      <c r="S152" s="393">
        <f t="shared" si="47"/>
        <v>41.649750000000004</v>
      </c>
      <c r="T152" s="393">
        <f t="shared" si="48"/>
        <v>37.431000000000004</v>
      </c>
      <c r="U152" s="413">
        <f t="shared" si="49"/>
        <v>37.431000000000004</v>
      </c>
    </row>
    <row r="153" spans="1:21">
      <c r="A153">
        <v>383</v>
      </c>
      <c r="B153">
        <v>147</v>
      </c>
      <c r="C153" t="s">
        <v>222</v>
      </c>
      <c r="D153" s="391">
        <f t="shared" si="39"/>
        <v>147.27599999999998</v>
      </c>
      <c r="E153" s="390">
        <v>184.72842467532473</v>
      </c>
      <c r="F153" s="400">
        <v>144.28800000000001</v>
      </c>
      <c r="G153" s="400">
        <v>125.02799999999999</v>
      </c>
      <c r="H153" s="400">
        <v>147.27599999999998</v>
      </c>
      <c r="I153" s="400">
        <v>147.27599999999998</v>
      </c>
      <c r="J153" s="400">
        <v>147.27599999999998</v>
      </c>
      <c r="K153" s="400">
        <v>147.27599999999998</v>
      </c>
      <c r="L153" s="400">
        <f t="shared" si="40"/>
        <v>140.96699999999998</v>
      </c>
      <c r="M153" s="413">
        <f t="shared" si="41"/>
        <v>140.96699999999998</v>
      </c>
      <c r="N153" s="413">
        <f t="shared" si="42"/>
        <v>140.96699999999998</v>
      </c>
      <c r="O153" s="393">
        <f t="shared" si="43"/>
        <v>164.50821233766237</v>
      </c>
      <c r="P153" s="393">
        <f t="shared" si="44"/>
        <v>134.65800000000002</v>
      </c>
      <c r="Q153" s="393">
        <f t="shared" si="45"/>
        <v>136.15199999999999</v>
      </c>
      <c r="R153" s="393">
        <f t="shared" si="46"/>
        <v>147.27599999999998</v>
      </c>
      <c r="S153" s="393">
        <f t="shared" si="47"/>
        <v>145.69874999999999</v>
      </c>
      <c r="T153" s="393">
        <f t="shared" si="48"/>
        <v>140.96699999999998</v>
      </c>
      <c r="U153" s="413">
        <f t="shared" si="49"/>
        <v>140.96699999999998</v>
      </c>
    </row>
    <row r="154" spans="1:21">
      <c r="A154">
        <v>19</v>
      </c>
      <c r="B154">
        <v>148</v>
      </c>
      <c r="C154" t="s">
        <v>223</v>
      </c>
      <c r="D154" s="391">
        <f t="shared" si="39"/>
        <v>0</v>
      </c>
      <c r="E154" s="390">
        <v>0</v>
      </c>
      <c r="F154" s="400">
        <v>0.18000000000000002</v>
      </c>
      <c r="G154" s="400">
        <v>0</v>
      </c>
      <c r="H154" s="400">
        <v>0</v>
      </c>
      <c r="I154" s="400">
        <v>0</v>
      </c>
      <c r="J154" s="400">
        <v>0</v>
      </c>
      <c r="K154" s="400">
        <v>0</v>
      </c>
      <c r="L154" s="400">
        <f t="shared" si="40"/>
        <v>4.5000000000000005E-2</v>
      </c>
      <c r="M154" s="413">
        <f t="shared" si="41"/>
        <v>4.5000000000000005E-2</v>
      </c>
      <c r="N154" s="413">
        <f t="shared" si="42"/>
        <v>4.5000000000000005E-2</v>
      </c>
      <c r="O154" s="393">
        <f t="shared" si="43"/>
        <v>9.0000000000000011E-2</v>
      </c>
      <c r="P154" s="393">
        <f t="shared" si="44"/>
        <v>9.0000000000000011E-2</v>
      </c>
      <c r="Q154" s="393">
        <f t="shared" si="45"/>
        <v>0</v>
      </c>
      <c r="R154" s="393">
        <f t="shared" si="46"/>
        <v>0</v>
      </c>
      <c r="S154" s="393">
        <f t="shared" si="47"/>
        <v>1.1250000000000001E-2</v>
      </c>
      <c r="T154" s="393">
        <f t="shared" si="48"/>
        <v>4.5000000000000005E-2</v>
      </c>
      <c r="U154" s="413">
        <f t="shared" si="49"/>
        <v>4.5000000000000005E-2</v>
      </c>
    </row>
    <row r="155" spans="1:21">
      <c r="A155">
        <v>413</v>
      </c>
      <c r="B155">
        <v>149</v>
      </c>
      <c r="C155" t="s">
        <v>224</v>
      </c>
      <c r="D155" s="391">
        <f t="shared" si="39"/>
        <v>30.780000000000005</v>
      </c>
      <c r="E155" s="390">
        <v>143.15589912218027</v>
      </c>
      <c r="F155" s="400">
        <v>90.612000000000009</v>
      </c>
      <c r="G155" s="400">
        <v>11.844000000000001</v>
      </c>
      <c r="H155" s="400">
        <v>30.780000000000005</v>
      </c>
      <c r="I155" s="400">
        <v>30.780000000000005</v>
      </c>
      <c r="J155" s="400">
        <v>30.780000000000005</v>
      </c>
      <c r="K155" s="400">
        <v>30.780000000000005</v>
      </c>
      <c r="L155" s="400">
        <f t="shared" si="40"/>
        <v>41.004000000000005</v>
      </c>
      <c r="M155" s="413">
        <f t="shared" si="41"/>
        <v>41.004000000000005</v>
      </c>
      <c r="N155" s="413">
        <f t="shared" si="42"/>
        <v>41.004000000000005</v>
      </c>
      <c r="O155" s="393">
        <f t="shared" si="43"/>
        <v>116.88394956109013</v>
      </c>
      <c r="P155" s="393">
        <f t="shared" si="44"/>
        <v>51.228000000000009</v>
      </c>
      <c r="Q155" s="393">
        <f t="shared" si="45"/>
        <v>21.312000000000005</v>
      </c>
      <c r="R155" s="393">
        <f t="shared" si="46"/>
        <v>30.780000000000005</v>
      </c>
      <c r="S155" s="393">
        <f t="shared" si="47"/>
        <v>33.336000000000006</v>
      </c>
      <c r="T155" s="393">
        <f t="shared" si="48"/>
        <v>41.004000000000005</v>
      </c>
      <c r="U155" s="413">
        <f t="shared" si="49"/>
        <v>41.004000000000005</v>
      </c>
    </row>
    <row r="156" spans="1:21">
      <c r="A156">
        <v>260</v>
      </c>
      <c r="B156">
        <v>150</v>
      </c>
      <c r="C156" t="s">
        <v>225</v>
      </c>
      <c r="D156" s="391">
        <f t="shared" si="39"/>
        <v>0.18000000000000002</v>
      </c>
      <c r="E156" s="390">
        <v>16.922276867030966</v>
      </c>
      <c r="F156" s="400">
        <v>1.476</v>
      </c>
      <c r="G156" s="400">
        <v>2.0160000000000005</v>
      </c>
      <c r="H156" s="400">
        <v>0.18000000000000002</v>
      </c>
      <c r="I156" s="400">
        <v>0.18000000000000002</v>
      </c>
      <c r="J156" s="400">
        <v>0.18000000000000002</v>
      </c>
      <c r="K156" s="400">
        <v>0.18000000000000002</v>
      </c>
      <c r="L156" s="400">
        <f t="shared" si="40"/>
        <v>0.96300000000000019</v>
      </c>
      <c r="M156" s="413">
        <f t="shared" si="41"/>
        <v>0.96300000000000019</v>
      </c>
      <c r="N156" s="413">
        <f t="shared" si="42"/>
        <v>0.96300000000000019</v>
      </c>
      <c r="O156" s="393">
        <f t="shared" si="43"/>
        <v>9.1991384335154827</v>
      </c>
      <c r="P156" s="393">
        <f t="shared" si="44"/>
        <v>1.7460000000000002</v>
      </c>
      <c r="Q156" s="393">
        <f t="shared" si="45"/>
        <v>1.0980000000000003</v>
      </c>
      <c r="R156" s="393">
        <f t="shared" si="46"/>
        <v>0.18000000000000002</v>
      </c>
      <c r="S156" s="393">
        <f t="shared" si="47"/>
        <v>0.37575000000000003</v>
      </c>
      <c r="T156" s="393">
        <f t="shared" si="48"/>
        <v>0.96300000000000019</v>
      </c>
      <c r="U156" s="413">
        <f t="shared" si="49"/>
        <v>0.96300000000000019</v>
      </c>
    </row>
    <row r="157" spans="1:21">
      <c r="A157">
        <v>287</v>
      </c>
      <c r="B157">
        <v>151</v>
      </c>
      <c r="C157" t="s">
        <v>11</v>
      </c>
      <c r="D157" s="391">
        <f t="shared" si="39"/>
        <v>222.91200000000001</v>
      </c>
      <c r="E157" s="390">
        <v>238.00306153846157</v>
      </c>
      <c r="F157" s="400">
        <v>209.12400000000002</v>
      </c>
      <c r="G157" s="400">
        <v>234.072</v>
      </c>
      <c r="H157" s="400">
        <v>222.91200000000001</v>
      </c>
      <c r="I157" s="400">
        <v>222.91200000000001</v>
      </c>
      <c r="J157" s="400">
        <v>222.91200000000001</v>
      </c>
      <c r="K157" s="400">
        <v>222.91200000000001</v>
      </c>
      <c r="L157" s="400">
        <f t="shared" si="40"/>
        <v>222.25500000000002</v>
      </c>
      <c r="M157" s="413">
        <f t="shared" si="41"/>
        <v>222.25500000000002</v>
      </c>
      <c r="N157" s="413">
        <f t="shared" si="42"/>
        <v>222.25500000000002</v>
      </c>
      <c r="O157" s="393">
        <f t="shared" si="43"/>
        <v>223.56353076923079</v>
      </c>
      <c r="P157" s="393">
        <f t="shared" si="44"/>
        <v>221.59800000000001</v>
      </c>
      <c r="Q157" s="393">
        <f t="shared" si="45"/>
        <v>228.49200000000002</v>
      </c>
      <c r="R157" s="393">
        <f t="shared" si="46"/>
        <v>222.91200000000001</v>
      </c>
      <c r="S157" s="393">
        <f t="shared" si="47"/>
        <v>222.74775</v>
      </c>
      <c r="T157" s="393">
        <f t="shared" si="48"/>
        <v>222.25500000000002</v>
      </c>
      <c r="U157" s="413">
        <f t="shared" si="49"/>
        <v>222.25500000000002</v>
      </c>
    </row>
    <row r="158" spans="1:21">
      <c r="A158">
        <v>22</v>
      </c>
      <c r="B158">
        <v>152</v>
      </c>
      <c r="C158" t="s">
        <v>202</v>
      </c>
      <c r="D158" s="391">
        <f t="shared" si="39"/>
        <v>9.18</v>
      </c>
      <c r="E158" s="390">
        <v>24.076251713295171</v>
      </c>
      <c r="F158" s="400">
        <v>9.2880000000000003</v>
      </c>
      <c r="G158" s="400">
        <v>14.364000000000001</v>
      </c>
      <c r="H158" s="400">
        <v>9.18</v>
      </c>
      <c r="I158" s="400">
        <v>9.18</v>
      </c>
      <c r="J158" s="400">
        <v>9.18</v>
      </c>
      <c r="K158" s="400">
        <v>9.18</v>
      </c>
      <c r="L158" s="400">
        <f t="shared" si="40"/>
        <v>10.503</v>
      </c>
      <c r="M158" s="413">
        <f t="shared" si="41"/>
        <v>10.503</v>
      </c>
      <c r="N158" s="413">
        <f t="shared" si="42"/>
        <v>10.503</v>
      </c>
      <c r="O158" s="393">
        <f t="shared" si="43"/>
        <v>16.682125856647588</v>
      </c>
      <c r="P158" s="393">
        <f t="shared" si="44"/>
        <v>11.826000000000001</v>
      </c>
      <c r="Q158" s="393">
        <f t="shared" si="45"/>
        <v>11.772</v>
      </c>
      <c r="R158" s="393">
        <f t="shared" si="46"/>
        <v>9.18</v>
      </c>
      <c r="S158" s="393">
        <f t="shared" si="47"/>
        <v>9.5107499999999998</v>
      </c>
      <c r="T158" s="393">
        <f t="shared" si="48"/>
        <v>10.503</v>
      </c>
      <c r="U158" s="413">
        <f t="shared" si="49"/>
        <v>10.503</v>
      </c>
    </row>
    <row r="159" spans="1:21">
      <c r="A159">
        <v>402</v>
      </c>
      <c r="B159">
        <v>153</v>
      </c>
      <c r="C159" t="s">
        <v>17</v>
      </c>
      <c r="D159" s="391">
        <f t="shared" si="39"/>
        <v>80.208000000000013</v>
      </c>
      <c r="E159" s="390">
        <v>205.15268337239144</v>
      </c>
      <c r="F159" s="400">
        <v>195.40800000000002</v>
      </c>
      <c r="G159" s="400">
        <v>207.828</v>
      </c>
      <c r="H159" s="400">
        <v>80.208000000000013</v>
      </c>
      <c r="I159" s="400">
        <v>80.208000000000013</v>
      </c>
      <c r="J159" s="400">
        <v>80.208000000000013</v>
      </c>
      <c r="K159" s="400">
        <v>80.208000000000013</v>
      </c>
      <c r="L159" s="400">
        <f t="shared" si="40"/>
        <v>140.91300000000001</v>
      </c>
      <c r="M159" s="413">
        <f t="shared" si="41"/>
        <v>140.91300000000001</v>
      </c>
      <c r="N159" s="413">
        <f t="shared" si="42"/>
        <v>140.91300000000001</v>
      </c>
      <c r="O159" s="393">
        <f t="shared" si="43"/>
        <v>200.28034168619573</v>
      </c>
      <c r="P159" s="393">
        <f t="shared" si="44"/>
        <v>201.61799999999999</v>
      </c>
      <c r="Q159" s="393">
        <f t="shared" si="45"/>
        <v>144.018</v>
      </c>
      <c r="R159" s="393">
        <f t="shared" si="46"/>
        <v>80.208000000000013</v>
      </c>
      <c r="S159" s="393">
        <f t="shared" si="47"/>
        <v>95.384250000000009</v>
      </c>
      <c r="T159" s="393">
        <f t="shared" si="48"/>
        <v>140.91300000000001</v>
      </c>
      <c r="U159" s="413">
        <f t="shared" si="49"/>
        <v>140.91300000000001</v>
      </c>
    </row>
    <row r="160" spans="1:21">
      <c r="A160">
        <v>186</v>
      </c>
      <c r="B160">
        <v>154</v>
      </c>
      <c r="C160" t="s">
        <v>226</v>
      </c>
      <c r="D160" s="391">
        <f t="shared" si="39"/>
        <v>0</v>
      </c>
      <c r="E160" s="390">
        <v>0</v>
      </c>
      <c r="F160" s="400">
        <v>0</v>
      </c>
      <c r="G160" s="400">
        <v>0</v>
      </c>
      <c r="H160" s="400">
        <v>0</v>
      </c>
      <c r="I160" s="400">
        <v>0</v>
      </c>
      <c r="J160" s="400">
        <v>0</v>
      </c>
      <c r="K160" s="400">
        <v>0</v>
      </c>
      <c r="L160" s="400">
        <f t="shared" si="40"/>
        <v>0</v>
      </c>
      <c r="M160" s="413">
        <f t="shared" si="41"/>
        <v>0</v>
      </c>
      <c r="N160" s="413">
        <f t="shared" si="42"/>
        <v>0</v>
      </c>
      <c r="O160" s="393">
        <f t="shared" si="43"/>
        <v>0</v>
      </c>
      <c r="P160" s="393">
        <f t="shared" si="44"/>
        <v>0</v>
      </c>
      <c r="Q160" s="393">
        <f t="shared" si="45"/>
        <v>0</v>
      </c>
      <c r="R160" s="393">
        <f t="shared" si="46"/>
        <v>0</v>
      </c>
      <c r="S160" s="393">
        <f t="shared" si="47"/>
        <v>0</v>
      </c>
      <c r="T160" s="393">
        <f t="shared" si="48"/>
        <v>0</v>
      </c>
      <c r="U160" s="413">
        <f t="shared" si="49"/>
        <v>0</v>
      </c>
    </row>
    <row r="161" spans="1:21">
      <c r="A161">
        <v>171</v>
      </c>
      <c r="B161">
        <v>155</v>
      </c>
      <c r="C161" t="s">
        <v>227</v>
      </c>
      <c r="D161" s="391">
        <f t="shared" si="39"/>
        <v>0.108</v>
      </c>
      <c r="E161" s="390">
        <v>7.4714134777047858E-2</v>
      </c>
      <c r="F161" s="400">
        <v>0.25200000000000006</v>
      </c>
      <c r="G161" s="400">
        <v>0</v>
      </c>
      <c r="H161" s="400">
        <v>0.108</v>
      </c>
      <c r="I161" s="400">
        <v>0.108</v>
      </c>
      <c r="J161" s="400">
        <v>0.108</v>
      </c>
      <c r="K161" s="400">
        <v>0.108</v>
      </c>
      <c r="L161" s="400">
        <f t="shared" si="40"/>
        <v>0.11700000000000001</v>
      </c>
      <c r="M161" s="413">
        <f t="shared" si="41"/>
        <v>0.11700000000000001</v>
      </c>
      <c r="N161" s="413">
        <f t="shared" si="42"/>
        <v>0.11700000000000001</v>
      </c>
      <c r="O161" s="393">
        <f t="shared" si="43"/>
        <v>0.16335706738852396</v>
      </c>
      <c r="P161" s="393">
        <f t="shared" si="44"/>
        <v>0.12600000000000003</v>
      </c>
      <c r="Q161" s="393">
        <f t="shared" si="45"/>
        <v>5.3999999999999999E-2</v>
      </c>
      <c r="R161" s="393">
        <f t="shared" si="46"/>
        <v>0.108</v>
      </c>
      <c r="S161" s="393">
        <f t="shared" si="47"/>
        <v>0.11025</v>
      </c>
      <c r="T161" s="393">
        <f t="shared" si="48"/>
        <v>0.11700000000000001</v>
      </c>
      <c r="U161" s="413">
        <f t="shared" si="49"/>
        <v>0.11700000000000001</v>
      </c>
    </row>
    <row r="162" spans="1:21">
      <c r="A162">
        <v>29</v>
      </c>
      <c r="B162">
        <v>156</v>
      </c>
      <c r="C162" t="s">
        <v>228</v>
      </c>
      <c r="D162" s="391">
        <f t="shared" si="39"/>
        <v>23.076000000000001</v>
      </c>
      <c r="E162" s="390">
        <v>33.892606592812754</v>
      </c>
      <c r="F162" s="400">
        <v>59.472000000000001</v>
      </c>
      <c r="G162" s="400">
        <v>92.915999999999997</v>
      </c>
      <c r="H162" s="400">
        <v>23.076000000000001</v>
      </c>
      <c r="I162" s="400">
        <v>23.076000000000001</v>
      </c>
      <c r="J162" s="400">
        <v>23.076000000000001</v>
      </c>
      <c r="K162" s="400">
        <v>23.076000000000001</v>
      </c>
      <c r="L162" s="400">
        <f t="shared" si="40"/>
        <v>49.634999999999998</v>
      </c>
      <c r="M162" s="413">
        <f t="shared" si="41"/>
        <v>49.634999999999998</v>
      </c>
      <c r="N162" s="413">
        <f t="shared" si="42"/>
        <v>49.634999999999998</v>
      </c>
      <c r="O162" s="393">
        <f t="shared" si="43"/>
        <v>46.682303296406374</v>
      </c>
      <c r="P162" s="393">
        <f t="shared" si="44"/>
        <v>76.194000000000003</v>
      </c>
      <c r="Q162" s="393">
        <f t="shared" si="45"/>
        <v>57.995999999999995</v>
      </c>
      <c r="R162" s="393">
        <f t="shared" si="46"/>
        <v>23.076000000000001</v>
      </c>
      <c r="S162" s="393">
        <f t="shared" si="47"/>
        <v>29.71575</v>
      </c>
      <c r="T162" s="393">
        <f t="shared" si="48"/>
        <v>49.634999999999998</v>
      </c>
      <c r="U162" s="413">
        <f t="shared" si="49"/>
        <v>49.634999999999998</v>
      </c>
    </row>
    <row r="163" spans="1:21">
      <c r="A163">
        <v>423</v>
      </c>
      <c r="B163">
        <v>157</v>
      </c>
      <c r="C163" t="s">
        <v>231</v>
      </c>
      <c r="D163" s="391">
        <f t="shared" si="39"/>
        <v>124.63199999999999</v>
      </c>
      <c r="E163" s="390">
        <v>96.996672000000004</v>
      </c>
      <c r="F163" s="400">
        <v>79.92</v>
      </c>
      <c r="G163" s="400">
        <v>95.36399999999999</v>
      </c>
      <c r="H163" s="400">
        <v>124.63199999999999</v>
      </c>
      <c r="I163" s="400">
        <v>124.63199999999999</v>
      </c>
      <c r="J163" s="400">
        <v>124.63199999999999</v>
      </c>
      <c r="K163" s="400">
        <v>124.63199999999999</v>
      </c>
      <c r="L163" s="400">
        <f t="shared" si="40"/>
        <v>106.137</v>
      </c>
      <c r="M163" s="413">
        <f t="shared" si="41"/>
        <v>106.137</v>
      </c>
      <c r="N163" s="413">
        <f t="shared" si="42"/>
        <v>106.137</v>
      </c>
      <c r="O163" s="393">
        <f t="shared" si="43"/>
        <v>88.458336000000003</v>
      </c>
      <c r="P163" s="393">
        <f t="shared" si="44"/>
        <v>87.641999999999996</v>
      </c>
      <c r="Q163" s="393">
        <f t="shared" si="45"/>
        <v>109.99799999999999</v>
      </c>
      <c r="R163" s="393">
        <f t="shared" si="46"/>
        <v>124.63199999999999</v>
      </c>
      <c r="S163" s="393">
        <f t="shared" si="47"/>
        <v>120.00824999999999</v>
      </c>
      <c r="T163" s="393">
        <f t="shared" si="48"/>
        <v>106.137</v>
      </c>
      <c r="U163" s="413">
        <f t="shared" si="49"/>
        <v>106.137</v>
      </c>
    </row>
    <row r="164" spans="1:21">
      <c r="A164">
        <v>164</v>
      </c>
      <c r="B164">
        <v>158</v>
      </c>
      <c r="C164" t="s">
        <v>232</v>
      </c>
      <c r="D164" s="391">
        <f t="shared" si="39"/>
        <v>92.160000000000011</v>
      </c>
      <c r="E164" s="390">
        <v>127.19407101584343</v>
      </c>
      <c r="F164" s="400">
        <v>87.912000000000006</v>
      </c>
      <c r="G164" s="400">
        <v>95.904000000000011</v>
      </c>
      <c r="H164" s="400">
        <v>92.160000000000011</v>
      </c>
      <c r="I164" s="400">
        <v>92.160000000000011</v>
      </c>
      <c r="J164" s="400">
        <v>92.160000000000011</v>
      </c>
      <c r="K164" s="400">
        <v>92.160000000000011</v>
      </c>
      <c r="L164" s="400">
        <f t="shared" si="40"/>
        <v>92.03400000000002</v>
      </c>
      <c r="M164" s="413">
        <f t="shared" si="41"/>
        <v>92.03400000000002</v>
      </c>
      <c r="N164" s="413">
        <f t="shared" si="42"/>
        <v>92.03400000000002</v>
      </c>
      <c r="O164" s="393">
        <f t="shared" si="43"/>
        <v>107.55303550792172</v>
      </c>
      <c r="P164" s="393">
        <f t="shared" si="44"/>
        <v>91.908000000000015</v>
      </c>
      <c r="Q164" s="393">
        <f t="shared" si="45"/>
        <v>94.032000000000011</v>
      </c>
      <c r="R164" s="393">
        <f t="shared" si="46"/>
        <v>92.160000000000011</v>
      </c>
      <c r="S164" s="393">
        <f t="shared" si="47"/>
        <v>92.128500000000003</v>
      </c>
      <c r="T164" s="393">
        <f t="shared" si="48"/>
        <v>92.03400000000002</v>
      </c>
      <c r="U164" s="413">
        <f t="shared" si="49"/>
        <v>92.03400000000002</v>
      </c>
    </row>
    <row r="165" spans="1:21">
      <c r="A165">
        <v>442</v>
      </c>
      <c r="B165">
        <v>159</v>
      </c>
      <c r="C165" t="s">
        <v>233</v>
      </c>
      <c r="D165" s="391">
        <f t="shared" si="39"/>
        <v>60.624000000000002</v>
      </c>
      <c r="E165" s="390">
        <v>123.35800324374645</v>
      </c>
      <c r="F165" s="400">
        <v>90.072000000000003</v>
      </c>
      <c r="G165" s="400">
        <v>49.716000000000001</v>
      </c>
      <c r="H165" s="400">
        <v>60.624000000000002</v>
      </c>
      <c r="I165" s="400">
        <v>60.624000000000002</v>
      </c>
      <c r="J165" s="400">
        <v>60.624000000000002</v>
      </c>
      <c r="K165" s="400">
        <v>60.624000000000002</v>
      </c>
      <c r="L165" s="400">
        <f t="shared" si="40"/>
        <v>65.259</v>
      </c>
      <c r="M165" s="413">
        <f t="shared" si="41"/>
        <v>65.259</v>
      </c>
      <c r="N165" s="413">
        <f t="shared" si="42"/>
        <v>65.259</v>
      </c>
      <c r="O165" s="393">
        <f t="shared" si="43"/>
        <v>106.71500162187323</v>
      </c>
      <c r="P165" s="393">
        <f t="shared" si="44"/>
        <v>69.894000000000005</v>
      </c>
      <c r="Q165" s="393">
        <f t="shared" si="45"/>
        <v>55.17</v>
      </c>
      <c r="R165" s="393">
        <f t="shared" si="46"/>
        <v>60.624000000000002</v>
      </c>
      <c r="S165" s="393">
        <f t="shared" si="47"/>
        <v>61.782750000000007</v>
      </c>
      <c r="T165" s="393">
        <f t="shared" si="48"/>
        <v>65.259</v>
      </c>
      <c r="U165" s="413">
        <f t="shared" si="49"/>
        <v>65.259</v>
      </c>
    </row>
    <row r="166" spans="1:21">
      <c r="A166">
        <v>255</v>
      </c>
      <c r="B166">
        <v>160</v>
      </c>
      <c r="C166" t="s">
        <v>234</v>
      </c>
      <c r="D166" s="391">
        <f t="shared" si="39"/>
        <v>191.16</v>
      </c>
      <c r="E166" s="390">
        <v>166.31484569141142</v>
      </c>
      <c r="F166" s="400">
        <v>184.14</v>
      </c>
      <c r="G166" s="400">
        <v>188.42400000000001</v>
      </c>
      <c r="H166" s="400">
        <v>191.16</v>
      </c>
      <c r="I166" s="400">
        <v>191.16</v>
      </c>
      <c r="J166" s="400">
        <v>191.16</v>
      </c>
      <c r="K166" s="400">
        <v>191.16</v>
      </c>
      <c r="L166" s="400">
        <f t="shared" si="40"/>
        <v>188.72099999999998</v>
      </c>
      <c r="M166" s="413">
        <f t="shared" si="41"/>
        <v>188.72099999999998</v>
      </c>
      <c r="N166" s="413">
        <f t="shared" si="42"/>
        <v>188.72099999999998</v>
      </c>
      <c r="O166" s="393">
        <f t="shared" si="43"/>
        <v>175.22742284570569</v>
      </c>
      <c r="P166" s="393">
        <f t="shared" si="44"/>
        <v>186.28199999999998</v>
      </c>
      <c r="Q166" s="393">
        <f t="shared" si="45"/>
        <v>189.792</v>
      </c>
      <c r="R166" s="393">
        <f t="shared" si="46"/>
        <v>191.16</v>
      </c>
      <c r="S166" s="393">
        <f t="shared" si="47"/>
        <v>190.55025000000001</v>
      </c>
      <c r="T166" s="393">
        <f t="shared" si="48"/>
        <v>188.72099999999998</v>
      </c>
      <c r="U166" s="413">
        <f t="shared" si="49"/>
        <v>188.72099999999998</v>
      </c>
    </row>
    <row r="167" spans="1:21">
      <c r="A167">
        <v>30</v>
      </c>
      <c r="B167">
        <v>161</v>
      </c>
      <c r="C167" t="s">
        <v>235</v>
      </c>
      <c r="D167" s="391">
        <f t="shared" si="39"/>
        <v>143.28</v>
      </c>
      <c r="E167" s="390">
        <v>166.53394433420368</v>
      </c>
      <c r="F167" s="400">
        <v>140.94</v>
      </c>
      <c r="G167" s="400">
        <v>133.09200000000001</v>
      </c>
      <c r="H167" s="400">
        <v>143.28</v>
      </c>
      <c r="I167" s="400">
        <v>143.28</v>
      </c>
      <c r="J167" s="400">
        <v>143.28</v>
      </c>
      <c r="K167" s="400">
        <v>143.28</v>
      </c>
      <c r="L167" s="400">
        <f t="shared" si="40"/>
        <v>140.148</v>
      </c>
      <c r="M167" s="413">
        <f t="shared" si="41"/>
        <v>140.148</v>
      </c>
      <c r="N167" s="413">
        <f t="shared" si="42"/>
        <v>140.148</v>
      </c>
      <c r="O167" s="393">
        <f t="shared" si="43"/>
        <v>153.73697216710184</v>
      </c>
      <c r="P167" s="393">
        <f t="shared" si="44"/>
        <v>137.01600000000002</v>
      </c>
      <c r="Q167" s="393">
        <f t="shared" si="45"/>
        <v>138.18600000000001</v>
      </c>
      <c r="R167" s="393">
        <f t="shared" si="46"/>
        <v>143.28</v>
      </c>
      <c r="S167" s="393">
        <f t="shared" si="47"/>
        <v>142.49700000000001</v>
      </c>
      <c r="T167" s="393">
        <f t="shared" si="48"/>
        <v>140.148</v>
      </c>
      <c r="U167" s="413">
        <f t="shared" si="49"/>
        <v>140.148</v>
      </c>
    </row>
    <row r="168" spans="1:21">
      <c r="A168">
        <v>327</v>
      </c>
      <c r="B168">
        <v>162</v>
      </c>
      <c r="C168" t="s">
        <v>236</v>
      </c>
      <c r="D168" s="391">
        <f t="shared" si="39"/>
        <v>0.39600000000000002</v>
      </c>
      <c r="E168" s="390">
        <v>164.64852587420333</v>
      </c>
      <c r="F168" s="400">
        <v>329.72400000000005</v>
      </c>
      <c r="G168" s="400">
        <v>2.1960000000000002</v>
      </c>
      <c r="H168" s="400">
        <v>0.39600000000000002</v>
      </c>
      <c r="I168" s="400">
        <v>0.39600000000000002</v>
      </c>
      <c r="J168" s="400">
        <v>0.39600000000000002</v>
      </c>
      <c r="K168" s="400">
        <v>0.39600000000000002</v>
      </c>
      <c r="L168" s="400">
        <f t="shared" si="40"/>
        <v>83.178000000000026</v>
      </c>
      <c r="M168" s="413">
        <f t="shared" si="41"/>
        <v>83.178000000000026</v>
      </c>
      <c r="N168" s="413">
        <f t="shared" si="42"/>
        <v>83.178000000000026</v>
      </c>
      <c r="O168" s="393">
        <f t="shared" si="43"/>
        <v>247.18626293710167</v>
      </c>
      <c r="P168" s="393">
        <f t="shared" si="44"/>
        <v>165.96000000000004</v>
      </c>
      <c r="Q168" s="393">
        <f t="shared" si="45"/>
        <v>1.296</v>
      </c>
      <c r="R168" s="393">
        <f t="shared" si="46"/>
        <v>0.39600000000000002</v>
      </c>
      <c r="S168" s="393">
        <f t="shared" si="47"/>
        <v>21.091500000000007</v>
      </c>
      <c r="T168" s="393">
        <f t="shared" si="48"/>
        <v>83.178000000000026</v>
      </c>
      <c r="U168" s="413">
        <f t="shared" si="49"/>
        <v>83.178000000000026</v>
      </c>
    </row>
    <row r="169" spans="1:21">
      <c r="A169">
        <v>149</v>
      </c>
      <c r="B169">
        <v>163</v>
      </c>
      <c r="C169" t="s">
        <v>23</v>
      </c>
      <c r="D169" s="391">
        <f t="shared" si="39"/>
        <v>111.70800000000001</v>
      </c>
      <c r="E169" s="390">
        <v>16.555404754891647</v>
      </c>
      <c r="F169" s="400">
        <v>159.732</v>
      </c>
      <c r="G169" s="400">
        <v>225.36</v>
      </c>
      <c r="H169" s="400">
        <v>111.70800000000001</v>
      </c>
      <c r="I169" s="400">
        <v>111.70800000000001</v>
      </c>
      <c r="J169" s="400">
        <v>111.70800000000001</v>
      </c>
      <c r="K169" s="400">
        <v>111.70800000000001</v>
      </c>
      <c r="L169" s="400">
        <f t="shared" si="40"/>
        <v>152.12700000000001</v>
      </c>
      <c r="M169" s="413">
        <f t="shared" si="41"/>
        <v>152.12700000000001</v>
      </c>
      <c r="N169" s="413">
        <f t="shared" si="42"/>
        <v>152.12700000000001</v>
      </c>
      <c r="O169" s="393">
        <f t="shared" si="43"/>
        <v>88.14370237744582</v>
      </c>
      <c r="P169" s="393">
        <f t="shared" si="44"/>
        <v>192.54599999999999</v>
      </c>
      <c r="Q169" s="393">
        <f t="shared" si="45"/>
        <v>168.53400000000002</v>
      </c>
      <c r="R169" s="393">
        <f t="shared" si="46"/>
        <v>111.70800000000001</v>
      </c>
      <c r="S169" s="393">
        <f t="shared" si="47"/>
        <v>121.81275000000001</v>
      </c>
      <c r="T169" s="393">
        <f t="shared" si="48"/>
        <v>152.12700000000001</v>
      </c>
      <c r="U169" s="413">
        <f t="shared" si="49"/>
        <v>152.12700000000001</v>
      </c>
    </row>
    <row r="170" spans="1:21">
      <c r="A170">
        <v>278</v>
      </c>
      <c r="B170">
        <v>164</v>
      </c>
      <c r="C170" t="s">
        <v>237</v>
      </c>
      <c r="D170" s="391">
        <f t="shared" si="39"/>
        <v>27.324000000000002</v>
      </c>
      <c r="E170" s="390">
        <v>134.43783742900143</v>
      </c>
      <c r="F170" s="400">
        <v>104.07600000000001</v>
      </c>
      <c r="G170" s="400">
        <v>53.1</v>
      </c>
      <c r="H170" s="400">
        <v>27.324000000000002</v>
      </c>
      <c r="I170" s="400">
        <v>27.324000000000002</v>
      </c>
      <c r="J170" s="400">
        <v>27.324000000000002</v>
      </c>
      <c r="K170" s="400">
        <v>27.324000000000002</v>
      </c>
      <c r="L170" s="400">
        <f t="shared" si="40"/>
        <v>52.95600000000001</v>
      </c>
      <c r="M170" s="413">
        <f t="shared" si="41"/>
        <v>52.95600000000001</v>
      </c>
      <c r="N170" s="413">
        <f t="shared" si="42"/>
        <v>52.95600000000001</v>
      </c>
      <c r="O170" s="393">
        <f t="shared" si="43"/>
        <v>119.25691871450073</v>
      </c>
      <c r="P170" s="393">
        <f t="shared" si="44"/>
        <v>78.588000000000008</v>
      </c>
      <c r="Q170" s="393">
        <f t="shared" si="45"/>
        <v>40.212000000000003</v>
      </c>
      <c r="R170" s="393">
        <f t="shared" si="46"/>
        <v>27.324000000000002</v>
      </c>
      <c r="S170" s="393">
        <f t="shared" si="47"/>
        <v>33.732000000000006</v>
      </c>
      <c r="T170" s="393">
        <f t="shared" si="48"/>
        <v>52.95600000000001</v>
      </c>
      <c r="U170" s="413">
        <f t="shared" si="49"/>
        <v>52.95600000000001</v>
      </c>
    </row>
    <row r="171" spans="1:21">
      <c r="A171">
        <v>309</v>
      </c>
      <c r="B171">
        <v>165</v>
      </c>
      <c r="C171" t="s">
        <v>238</v>
      </c>
      <c r="D171" s="391">
        <f t="shared" si="39"/>
        <v>0</v>
      </c>
      <c r="E171" s="390">
        <v>0</v>
      </c>
      <c r="F171" s="400">
        <v>0</v>
      </c>
      <c r="G171" s="400">
        <v>0</v>
      </c>
      <c r="H171" s="400">
        <v>0</v>
      </c>
      <c r="I171" s="400">
        <v>0</v>
      </c>
      <c r="J171" s="400">
        <v>0</v>
      </c>
      <c r="K171" s="400">
        <v>0</v>
      </c>
      <c r="L171" s="400">
        <f t="shared" si="40"/>
        <v>0</v>
      </c>
      <c r="M171" s="413">
        <f t="shared" si="41"/>
        <v>0</v>
      </c>
      <c r="N171" s="413">
        <f t="shared" si="42"/>
        <v>0</v>
      </c>
      <c r="O171" s="393">
        <f t="shared" si="43"/>
        <v>0</v>
      </c>
      <c r="P171" s="393">
        <f t="shared" si="44"/>
        <v>0</v>
      </c>
      <c r="Q171" s="393">
        <f t="shared" si="45"/>
        <v>0</v>
      </c>
      <c r="R171" s="393">
        <f t="shared" si="46"/>
        <v>0</v>
      </c>
      <c r="S171" s="393">
        <f t="shared" si="47"/>
        <v>0</v>
      </c>
      <c r="T171" s="393">
        <f t="shared" si="48"/>
        <v>0</v>
      </c>
      <c r="U171" s="413">
        <f t="shared" si="49"/>
        <v>0</v>
      </c>
    </row>
    <row r="172" spans="1:21">
      <c r="A172">
        <v>39</v>
      </c>
      <c r="B172">
        <v>166</v>
      </c>
      <c r="C172" t="s">
        <v>239</v>
      </c>
      <c r="D172" s="391">
        <f t="shared" si="39"/>
        <v>0.18000000000000002</v>
      </c>
      <c r="E172" s="390">
        <v>1.5012073188277364</v>
      </c>
      <c r="F172" s="400">
        <v>0.97200000000000009</v>
      </c>
      <c r="G172" s="400">
        <v>3.6000000000000004E-2</v>
      </c>
      <c r="H172" s="400">
        <v>0.18000000000000002</v>
      </c>
      <c r="I172" s="400">
        <v>0.18000000000000002</v>
      </c>
      <c r="J172" s="400">
        <v>0.18000000000000002</v>
      </c>
      <c r="K172" s="400">
        <v>0.18000000000000002</v>
      </c>
      <c r="L172" s="400">
        <f t="shared" si="40"/>
        <v>0.34199999999999997</v>
      </c>
      <c r="M172" s="413">
        <f t="shared" si="41"/>
        <v>0.34199999999999997</v>
      </c>
      <c r="N172" s="413">
        <f t="shared" si="42"/>
        <v>0.34199999999999997</v>
      </c>
      <c r="O172" s="393">
        <f t="shared" si="43"/>
        <v>1.2366036594138683</v>
      </c>
      <c r="P172" s="393">
        <f t="shared" si="44"/>
        <v>0.504</v>
      </c>
      <c r="Q172" s="393">
        <f t="shared" si="45"/>
        <v>0.10800000000000001</v>
      </c>
      <c r="R172" s="393">
        <f t="shared" si="46"/>
        <v>0.18000000000000002</v>
      </c>
      <c r="S172" s="393">
        <f t="shared" si="47"/>
        <v>0.2205</v>
      </c>
      <c r="T172" s="393">
        <f t="shared" si="48"/>
        <v>0.34199999999999997</v>
      </c>
      <c r="U172" s="413">
        <f t="shared" si="49"/>
        <v>0.34199999999999997</v>
      </c>
    </row>
    <row r="173" spans="1:21">
      <c r="A173">
        <v>382</v>
      </c>
      <c r="B173">
        <v>167</v>
      </c>
      <c r="C173" t="s">
        <v>240</v>
      </c>
      <c r="D173" s="391">
        <f t="shared" si="39"/>
        <v>24.948</v>
      </c>
      <c r="E173" s="390">
        <v>202.46375710227272</v>
      </c>
      <c r="F173" s="400">
        <v>708.87599999999998</v>
      </c>
      <c r="G173" s="400">
        <v>8.4960000000000004</v>
      </c>
      <c r="H173" s="400">
        <v>24.948</v>
      </c>
      <c r="I173" s="400">
        <v>24.948</v>
      </c>
      <c r="J173" s="400">
        <v>24.948</v>
      </c>
      <c r="K173" s="400">
        <v>24.948</v>
      </c>
      <c r="L173" s="400">
        <f t="shared" si="40"/>
        <v>191.81699999999998</v>
      </c>
      <c r="M173" s="413">
        <f t="shared" si="41"/>
        <v>191.81699999999998</v>
      </c>
      <c r="N173" s="413">
        <f t="shared" si="42"/>
        <v>191.81699999999998</v>
      </c>
      <c r="O173" s="393">
        <f t="shared" si="43"/>
        <v>455.66987855113632</v>
      </c>
      <c r="P173" s="393">
        <f t="shared" si="44"/>
        <v>358.68599999999998</v>
      </c>
      <c r="Q173" s="393">
        <f t="shared" si="45"/>
        <v>16.722000000000001</v>
      </c>
      <c r="R173" s="393">
        <f t="shared" si="46"/>
        <v>24.948</v>
      </c>
      <c r="S173" s="393">
        <f t="shared" si="47"/>
        <v>66.665249999999986</v>
      </c>
      <c r="T173" s="393">
        <f t="shared" si="48"/>
        <v>191.81699999999998</v>
      </c>
      <c r="U173" s="413">
        <f t="shared" si="49"/>
        <v>191.81699999999998</v>
      </c>
    </row>
    <row r="174" spans="1:21">
      <c r="A174">
        <v>31</v>
      </c>
      <c r="B174">
        <v>168</v>
      </c>
      <c r="C174" t="s">
        <v>193</v>
      </c>
      <c r="D174" s="391">
        <f t="shared" si="39"/>
        <v>0</v>
      </c>
      <c r="E174" s="390">
        <v>0</v>
      </c>
      <c r="F174" s="400">
        <v>0</v>
      </c>
      <c r="G174" s="400">
        <v>0</v>
      </c>
      <c r="H174" s="400">
        <v>0</v>
      </c>
      <c r="I174" s="400">
        <v>0</v>
      </c>
      <c r="J174" s="400">
        <v>0</v>
      </c>
      <c r="K174" s="400">
        <v>0</v>
      </c>
      <c r="L174" s="400">
        <f t="shared" si="40"/>
        <v>0</v>
      </c>
      <c r="M174" s="413">
        <f t="shared" si="41"/>
        <v>0</v>
      </c>
      <c r="N174" s="413">
        <f t="shared" si="42"/>
        <v>0</v>
      </c>
      <c r="O174" s="393">
        <f t="shared" si="43"/>
        <v>0</v>
      </c>
      <c r="P174" s="393">
        <f t="shared" si="44"/>
        <v>0</v>
      </c>
      <c r="Q174" s="393">
        <f t="shared" si="45"/>
        <v>0</v>
      </c>
      <c r="R174" s="393">
        <f t="shared" si="46"/>
        <v>0</v>
      </c>
      <c r="S174" s="393">
        <f t="shared" si="47"/>
        <v>0</v>
      </c>
      <c r="T174" s="393">
        <f t="shared" si="48"/>
        <v>0</v>
      </c>
      <c r="U174" s="413">
        <f t="shared" si="49"/>
        <v>0</v>
      </c>
    </row>
    <row r="175" spans="1:21">
      <c r="A175">
        <v>353</v>
      </c>
      <c r="B175">
        <v>169</v>
      </c>
      <c r="C175" t="s">
        <v>241</v>
      </c>
      <c r="D175" s="391">
        <f t="shared" si="39"/>
        <v>56.7</v>
      </c>
      <c r="E175" s="390">
        <v>166.30358744581238</v>
      </c>
      <c r="F175" s="400">
        <v>121.392</v>
      </c>
      <c r="G175" s="400">
        <v>47.088000000000001</v>
      </c>
      <c r="H175" s="400">
        <v>56.7</v>
      </c>
      <c r="I175" s="400">
        <v>56.7</v>
      </c>
      <c r="J175" s="400">
        <v>56.7</v>
      </c>
      <c r="K175" s="400">
        <v>56.7</v>
      </c>
      <c r="L175" s="400">
        <f t="shared" si="40"/>
        <v>70.47</v>
      </c>
      <c r="M175" s="413">
        <f t="shared" si="41"/>
        <v>70.47</v>
      </c>
      <c r="N175" s="413">
        <f t="shared" si="42"/>
        <v>70.47</v>
      </c>
      <c r="O175" s="393">
        <f t="shared" si="43"/>
        <v>143.8477937229062</v>
      </c>
      <c r="P175" s="393">
        <f t="shared" si="44"/>
        <v>84.24</v>
      </c>
      <c r="Q175" s="393">
        <f t="shared" si="45"/>
        <v>51.894000000000005</v>
      </c>
      <c r="R175" s="393">
        <f t="shared" si="46"/>
        <v>56.7</v>
      </c>
      <c r="S175" s="393">
        <f t="shared" si="47"/>
        <v>60.142500000000005</v>
      </c>
      <c r="T175" s="393">
        <f t="shared" si="48"/>
        <v>70.47</v>
      </c>
      <c r="U175" s="413">
        <f t="shared" si="49"/>
        <v>70.47</v>
      </c>
    </row>
    <row r="176" spans="1:21">
      <c r="A176">
        <v>241</v>
      </c>
      <c r="B176">
        <v>170</v>
      </c>
      <c r="C176" t="s">
        <v>522</v>
      </c>
      <c r="D176" s="391">
        <f t="shared" si="39"/>
        <v>1.0080000000000002</v>
      </c>
      <c r="E176" s="390">
        <v>0.3189977166205985</v>
      </c>
      <c r="F176" s="400">
        <v>0</v>
      </c>
      <c r="G176" s="400">
        <v>0.108</v>
      </c>
      <c r="H176" s="400">
        <v>1.0080000000000002</v>
      </c>
      <c r="I176" s="400">
        <v>1.0080000000000002</v>
      </c>
      <c r="J176" s="400">
        <v>1.0080000000000002</v>
      </c>
      <c r="K176" s="400">
        <v>1.0080000000000002</v>
      </c>
      <c r="L176" s="400">
        <f t="shared" si="40"/>
        <v>0.53100000000000014</v>
      </c>
      <c r="M176" s="413">
        <f t="shared" si="41"/>
        <v>0.53100000000000014</v>
      </c>
      <c r="N176" s="413">
        <f t="shared" si="42"/>
        <v>0.53100000000000014</v>
      </c>
      <c r="O176" s="393">
        <f t="shared" si="43"/>
        <v>0.15949885831029925</v>
      </c>
      <c r="P176" s="393">
        <f t="shared" si="44"/>
        <v>5.3999999999999999E-2</v>
      </c>
      <c r="Q176" s="393">
        <f t="shared" si="45"/>
        <v>0.55800000000000016</v>
      </c>
      <c r="R176" s="393">
        <f t="shared" si="46"/>
        <v>1.0080000000000002</v>
      </c>
      <c r="S176" s="393">
        <f t="shared" si="47"/>
        <v>0.88875000000000026</v>
      </c>
      <c r="T176" s="393">
        <f t="shared" si="48"/>
        <v>0.53100000000000014</v>
      </c>
      <c r="U176" s="413">
        <f t="shared" si="49"/>
        <v>0.53100000000000014</v>
      </c>
    </row>
    <row r="177" spans="1:21">
      <c r="A177">
        <v>428</v>
      </c>
      <c r="B177">
        <v>171</v>
      </c>
      <c r="C177" t="s">
        <v>242</v>
      </c>
      <c r="D177" s="391">
        <f t="shared" si="39"/>
        <v>1.4040000000000001</v>
      </c>
      <c r="E177" s="390">
        <v>9.9703094775804768</v>
      </c>
      <c r="F177" s="400">
        <v>11.232000000000001</v>
      </c>
      <c r="G177" s="400">
        <v>12.564000000000002</v>
      </c>
      <c r="H177" s="400">
        <v>1.4040000000000001</v>
      </c>
      <c r="I177" s="400">
        <v>1.4040000000000001</v>
      </c>
      <c r="J177" s="400">
        <v>1.4040000000000001</v>
      </c>
      <c r="K177" s="400">
        <v>1.4040000000000001</v>
      </c>
      <c r="L177" s="400">
        <f t="shared" si="40"/>
        <v>6.6510000000000007</v>
      </c>
      <c r="M177" s="413">
        <f t="shared" si="41"/>
        <v>6.6510000000000007</v>
      </c>
      <c r="N177" s="413">
        <f t="shared" si="42"/>
        <v>6.6510000000000007</v>
      </c>
      <c r="O177" s="393">
        <f t="shared" si="43"/>
        <v>10.601154738790239</v>
      </c>
      <c r="P177" s="393">
        <f t="shared" si="44"/>
        <v>11.898000000000001</v>
      </c>
      <c r="Q177" s="393">
        <f t="shared" si="45"/>
        <v>6.9840000000000009</v>
      </c>
      <c r="R177" s="393">
        <f t="shared" si="46"/>
        <v>1.4040000000000001</v>
      </c>
      <c r="S177" s="393">
        <f t="shared" si="47"/>
        <v>2.7157500000000003</v>
      </c>
      <c r="T177" s="393">
        <f t="shared" si="48"/>
        <v>6.6510000000000007</v>
      </c>
      <c r="U177" s="413">
        <f t="shared" si="49"/>
        <v>6.6510000000000007</v>
      </c>
    </row>
    <row r="178" spans="1:21" s="441" customFormat="1">
      <c r="A178" s="441">
        <v>196</v>
      </c>
      <c r="B178" s="441">
        <v>172</v>
      </c>
      <c r="C178" s="441" t="s">
        <v>243</v>
      </c>
      <c r="D178" s="442">
        <f t="shared" si="39"/>
        <v>12.384</v>
      </c>
      <c r="E178" s="443">
        <v>117.75154011107081</v>
      </c>
      <c r="F178" s="444">
        <v>45.072000000000003</v>
      </c>
      <c r="G178" s="444">
        <v>13.284000000000001</v>
      </c>
      <c r="H178" s="444">
        <v>12.384</v>
      </c>
      <c r="I178" s="444">
        <v>12.384</v>
      </c>
      <c r="J178" s="444">
        <v>12.384</v>
      </c>
      <c r="K178" s="444">
        <v>12.384</v>
      </c>
      <c r="L178" s="444">
        <f t="shared" si="40"/>
        <v>20.781000000000002</v>
      </c>
      <c r="M178" s="445">
        <f t="shared" si="41"/>
        <v>20.781000000000002</v>
      </c>
      <c r="N178" s="445">
        <f t="shared" si="42"/>
        <v>20.781000000000002</v>
      </c>
      <c r="O178" s="446">
        <f t="shared" si="43"/>
        <v>81.411770055535413</v>
      </c>
      <c r="P178" s="446">
        <f t="shared" si="44"/>
        <v>29.178000000000001</v>
      </c>
      <c r="Q178" s="446">
        <f t="shared" si="45"/>
        <v>12.834</v>
      </c>
      <c r="R178" s="446">
        <f t="shared" si="46"/>
        <v>12.384</v>
      </c>
      <c r="S178" s="446">
        <f t="shared" si="47"/>
        <v>14.483250000000002</v>
      </c>
      <c r="T178" s="446">
        <f t="shared" si="48"/>
        <v>20.781000000000002</v>
      </c>
      <c r="U178" s="445">
        <f t="shared" si="49"/>
        <v>20.781000000000002</v>
      </c>
    </row>
    <row r="179" spans="1:21">
      <c r="A179">
        <v>244</v>
      </c>
      <c r="B179">
        <v>173</v>
      </c>
      <c r="C179" t="s">
        <v>244</v>
      </c>
      <c r="D179" s="391">
        <f t="shared" si="39"/>
        <v>0</v>
      </c>
      <c r="E179" s="390">
        <v>0</v>
      </c>
      <c r="F179" s="400">
        <v>0</v>
      </c>
      <c r="G179" s="400">
        <v>0</v>
      </c>
      <c r="H179" s="400">
        <v>0</v>
      </c>
      <c r="I179" s="400">
        <v>0</v>
      </c>
      <c r="J179" s="400">
        <v>0</v>
      </c>
      <c r="K179" s="400">
        <v>0</v>
      </c>
      <c r="L179" s="400">
        <f t="shared" si="40"/>
        <v>0</v>
      </c>
      <c r="M179" s="413">
        <f t="shared" si="41"/>
        <v>0</v>
      </c>
      <c r="N179" s="413">
        <f t="shared" si="42"/>
        <v>0</v>
      </c>
      <c r="O179" s="393">
        <f t="shared" si="43"/>
        <v>0</v>
      </c>
      <c r="P179" s="393">
        <f t="shared" si="44"/>
        <v>0</v>
      </c>
      <c r="Q179" s="393">
        <f t="shared" si="45"/>
        <v>0</v>
      </c>
      <c r="R179" s="393">
        <f t="shared" si="46"/>
        <v>0</v>
      </c>
      <c r="S179" s="393">
        <f t="shared" si="47"/>
        <v>0</v>
      </c>
      <c r="T179" s="393">
        <f t="shared" si="48"/>
        <v>0</v>
      </c>
      <c r="U179" s="413">
        <f t="shared" si="49"/>
        <v>0</v>
      </c>
    </row>
    <row r="180" spans="1:21">
      <c r="A180">
        <v>250</v>
      </c>
      <c r="B180">
        <v>174</v>
      </c>
      <c r="C180" t="s">
        <v>523</v>
      </c>
      <c r="D180" s="391">
        <f t="shared" si="39"/>
        <v>1954.44</v>
      </c>
      <c r="E180" s="390">
        <v>2070.1181946637853</v>
      </c>
      <c r="F180" s="400">
        <v>1966.3560000000002</v>
      </c>
      <c r="G180" s="400">
        <v>2046.1320000000001</v>
      </c>
      <c r="H180" s="400">
        <v>1954.44</v>
      </c>
      <c r="I180" s="400">
        <v>1954.44</v>
      </c>
      <c r="J180" s="400">
        <v>1954.44</v>
      </c>
      <c r="K180" s="400">
        <v>1954.44</v>
      </c>
      <c r="L180" s="400">
        <f t="shared" si="40"/>
        <v>1980.3420000000001</v>
      </c>
      <c r="M180" s="413">
        <f t="shared" si="41"/>
        <v>1980.3420000000001</v>
      </c>
      <c r="N180" s="413">
        <f t="shared" si="42"/>
        <v>1980.3420000000001</v>
      </c>
      <c r="O180" s="393">
        <f t="shared" si="43"/>
        <v>2018.2370973318928</v>
      </c>
      <c r="P180" s="393">
        <f t="shared" si="44"/>
        <v>2006.2440000000001</v>
      </c>
      <c r="Q180" s="393">
        <f t="shared" si="45"/>
        <v>2000.2860000000001</v>
      </c>
      <c r="R180" s="393">
        <f t="shared" si="46"/>
        <v>1954.44</v>
      </c>
      <c r="S180" s="393">
        <f t="shared" si="47"/>
        <v>1960.9155000000001</v>
      </c>
      <c r="T180" s="393">
        <f t="shared" si="48"/>
        <v>1980.3420000000001</v>
      </c>
      <c r="U180" s="413">
        <f t="shared" si="49"/>
        <v>1980.3420000000001</v>
      </c>
    </row>
    <row r="181" spans="1:21">
      <c r="A181">
        <v>66</v>
      </c>
      <c r="B181">
        <v>175</v>
      </c>
      <c r="C181" t="s">
        <v>245</v>
      </c>
      <c r="D181" s="391">
        <f t="shared" si="39"/>
        <v>102.672</v>
      </c>
      <c r="E181" s="390">
        <v>174.78509887086307</v>
      </c>
      <c r="F181" s="400">
        <v>138.67200000000003</v>
      </c>
      <c r="G181" s="400">
        <v>188.38800000000001</v>
      </c>
      <c r="H181" s="400">
        <v>102.672</v>
      </c>
      <c r="I181" s="400">
        <v>102.672</v>
      </c>
      <c r="J181" s="400">
        <v>102.672</v>
      </c>
      <c r="K181" s="400">
        <v>102.672</v>
      </c>
      <c r="L181" s="400">
        <f t="shared" si="40"/>
        <v>133.10100000000003</v>
      </c>
      <c r="M181" s="413">
        <f t="shared" si="41"/>
        <v>133.10100000000003</v>
      </c>
      <c r="N181" s="413">
        <f t="shared" si="42"/>
        <v>133.10100000000003</v>
      </c>
      <c r="O181" s="393">
        <f t="shared" si="43"/>
        <v>156.72854943543155</v>
      </c>
      <c r="P181" s="393">
        <f t="shared" si="44"/>
        <v>163.53000000000003</v>
      </c>
      <c r="Q181" s="393">
        <f t="shared" si="45"/>
        <v>145.53</v>
      </c>
      <c r="R181" s="393">
        <f t="shared" si="46"/>
        <v>102.672</v>
      </c>
      <c r="S181" s="393">
        <f t="shared" si="47"/>
        <v>110.27924999999999</v>
      </c>
      <c r="T181" s="393">
        <f t="shared" si="48"/>
        <v>133.10100000000003</v>
      </c>
      <c r="U181" s="413">
        <f t="shared" si="49"/>
        <v>133.10100000000003</v>
      </c>
    </row>
    <row r="182" spans="1:21">
      <c r="A182">
        <v>348</v>
      </c>
      <c r="B182">
        <v>176</v>
      </c>
      <c r="C182" t="s">
        <v>28</v>
      </c>
      <c r="D182" s="391">
        <f t="shared" si="39"/>
        <v>0</v>
      </c>
      <c r="E182" s="390">
        <v>215.9058107131799</v>
      </c>
      <c r="F182" s="400">
        <v>209.59200000000001</v>
      </c>
      <c r="G182" s="400">
        <v>0</v>
      </c>
      <c r="H182" s="400">
        <v>0</v>
      </c>
      <c r="I182" s="400">
        <v>0</v>
      </c>
      <c r="J182" s="400">
        <v>0</v>
      </c>
      <c r="K182" s="400">
        <v>0</v>
      </c>
      <c r="L182" s="400">
        <f t="shared" si="40"/>
        <v>52.398000000000003</v>
      </c>
      <c r="M182" s="413">
        <f t="shared" si="41"/>
        <v>52.398000000000003</v>
      </c>
      <c r="N182" s="413">
        <f t="shared" si="42"/>
        <v>52.398000000000003</v>
      </c>
      <c r="O182" s="393">
        <f t="shared" si="43"/>
        <v>212.74890535658994</v>
      </c>
      <c r="P182" s="393">
        <f t="shared" si="44"/>
        <v>104.79600000000001</v>
      </c>
      <c r="Q182" s="393">
        <f t="shared" si="45"/>
        <v>0</v>
      </c>
      <c r="R182" s="393">
        <f t="shared" si="46"/>
        <v>0</v>
      </c>
      <c r="S182" s="393">
        <f t="shared" si="47"/>
        <v>13.099500000000001</v>
      </c>
      <c r="T182" s="393">
        <f t="shared" si="48"/>
        <v>52.398000000000003</v>
      </c>
      <c r="U182" s="413">
        <f t="shared" si="49"/>
        <v>52.398000000000003</v>
      </c>
    </row>
    <row r="183" spans="1:21">
      <c r="A183">
        <v>211</v>
      </c>
      <c r="B183">
        <v>177</v>
      </c>
      <c r="C183" t="s">
        <v>246</v>
      </c>
      <c r="D183" s="391">
        <f t="shared" si="39"/>
        <v>77.471999999999994</v>
      </c>
      <c r="E183" s="390">
        <v>127.50337451294592</v>
      </c>
      <c r="F183" s="400">
        <v>119.26800000000001</v>
      </c>
      <c r="G183" s="400">
        <v>158.72400000000002</v>
      </c>
      <c r="H183" s="400">
        <v>77.471999999999994</v>
      </c>
      <c r="I183" s="400">
        <v>77.471999999999994</v>
      </c>
      <c r="J183" s="400">
        <v>77.471999999999994</v>
      </c>
      <c r="K183" s="400">
        <v>77.471999999999994</v>
      </c>
      <c r="L183" s="400">
        <f t="shared" si="40"/>
        <v>108.23399999999999</v>
      </c>
      <c r="M183" s="413">
        <f t="shared" si="41"/>
        <v>108.23399999999999</v>
      </c>
      <c r="N183" s="413">
        <f t="shared" si="42"/>
        <v>108.23399999999999</v>
      </c>
      <c r="O183" s="393">
        <f t="shared" si="43"/>
        <v>123.38568725647298</v>
      </c>
      <c r="P183" s="393">
        <f t="shared" si="44"/>
        <v>138.99600000000001</v>
      </c>
      <c r="Q183" s="393">
        <f t="shared" si="45"/>
        <v>118.09800000000001</v>
      </c>
      <c r="R183" s="393">
        <f t="shared" si="46"/>
        <v>77.471999999999994</v>
      </c>
      <c r="S183" s="393">
        <f t="shared" si="47"/>
        <v>85.162499999999994</v>
      </c>
      <c r="T183" s="393">
        <f t="shared" si="48"/>
        <v>108.23399999999999</v>
      </c>
      <c r="U183" s="413">
        <f t="shared" si="49"/>
        <v>108.23399999999999</v>
      </c>
    </row>
    <row r="184" spans="1:21">
      <c r="A184">
        <v>313</v>
      </c>
      <c r="B184">
        <v>178</v>
      </c>
      <c r="C184" t="s">
        <v>247</v>
      </c>
      <c r="D184" s="391">
        <f t="shared" si="39"/>
        <v>134.78399999999999</v>
      </c>
      <c r="E184" s="390">
        <v>57.953590159003006</v>
      </c>
      <c r="F184" s="400">
        <v>65.412000000000006</v>
      </c>
      <c r="G184" s="400">
        <v>161.38800000000001</v>
      </c>
      <c r="H184" s="400">
        <v>134.78399999999999</v>
      </c>
      <c r="I184" s="400">
        <v>134.78399999999999</v>
      </c>
      <c r="J184" s="400">
        <v>134.78399999999999</v>
      </c>
      <c r="K184" s="400">
        <v>134.78399999999999</v>
      </c>
      <c r="L184" s="400">
        <f t="shared" si="40"/>
        <v>124.092</v>
      </c>
      <c r="M184" s="413">
        <f t="shared" si="41"/>
        <v>124.092</v>
      </c>
      <c r="N184" s="413">
        <f t="shared" si="42"/>
        <v>124.092</v>
      </c>
      <c r="O184" s="393">
        <f t="shared" si="43"/>
        <v>61.682795079501503</v>
      </c>
      <c r="P184" s="393">
        <f t="shared" si="44"/>
        <v>113.4</v>
      </c>
      <c r="Q184" s="393">
        <f t="shared" si="45"/>
        <v>148.08600000000001</v>
      </c>
      <c r="R184" s="393">
        <f t="shared" si="46"/>
        <v>134.78399999999999</v>
      </c>
      <c r="S184" s="393">
        <f t="shared" si="47"/>
        <v>132.11099999999999</v>
      </c>
      <c r="T184" s="393">
        <f t="shared" si="48"/>
        <v>124.092</v>
      </c>
      <c r="U184" s="413">
        <f t="shared" si="49"/>
        <v>124.092</v>
      </c>
    </row>
    <row r="185" spans="1:21">
      <c r="A185">
        <v>32</v>
      </c>
      <c r="B185">
        <v>179</v>
      </c>
      <c r="C185" t="s">
        <v>248</v>
      </c>
      <c r="D185" s="391">
        <f t="shared" si="39"/>
        <v>17.964000000000002</v>
      </c>
      <c r="E185" s="390">
        <v>38.942963345324351</v>
      </c>
      <c r="F185" s="400">
        <v>30.564</v>
      </c>
      <c r="G185" s="400">
        <v>16.524000000000001</v>
      </c>
      <c r="H185" s="400">
        <v>17.964000000000002</v>
      </c>
      <c r="I185" s="400">
        <v>17.964000000000002</v>
      </c>
      <c r="J185" s="400">
        <v>17.964000000000002</v>
      </c>
      <c r="K185" s="400">
        <v>17.964000000000002</v>
      </c>
      <c r="L185" s="400">
        <f t="shared" si="40"/>
        <v>20.754000000000001</v>
      </c>
      <c r="M185" s="413">
        <f t="shared" si="41"/>
        <v>20.754000000000001</v>
      </c>
      <c r="N185" s="413">
        <f t="shared" si="42"/>
        <v>20.754000000000001</v>
      </c>
      <c r="O185" s="393">
        <f t="shared" si="43"/>
        <v>34.753481672662176</v>
      </c>
      <c r="P185" s="393">
        <f t="shared" si="44"/>
        <v>23.544</v>
      </c>
      <c r="Q185" s="393">
        <f t="shared" si="45"/>
        <v>17.244</v>
      </c>
      <c r="R185" s="393">
        <f t="shared" si="46"/>
        <v>17.964000000000002</v>
      </c>
      <c r="S185" s="393">
        <f t="shared" si="47"/>
        <v>18.661500000000004</v>
      </c>
      <c r="T185" s="393">
        <f t="shared" si="48"/>
        <v>20.754000000000001</v>
      </c>
      <c r="U185" s="413">
        <f t="shared" si="49"/>
        <v>20.754000000000001</v>
      </c>
    </row>
    <row r="186" spans="1:21">
      <c r="A186">
        <v>86</v>
      </c>
      <c r="B186">
        <v>180</v>
      </c>
      <c r="C186" t="s">
        <v>249</v>
      </c>
      <c r="D186" s="391">
        <f t="shared" si="39"/>
        <v>3.528</v>
      </c>
      <c r="E186" s="390">
        <v>0.91092550348846557</v>
      </c>
      <c r="F186" s="400">
        <v>2.052</v>
      </c>
      <c r="G186" s="400">
        <v>1.476</v>
      </c>
      <c r="H186" s="400">
        <v>3.528</v>
      </c>
      <c r="I186" s="400">
        <v>3.528</v>
      </c>
      <c r="J186" s="400">
        <v>3.528</v>
      </c>
      <c r="K186" s="400">
        <v>3.528</v>
      </c>
      <c r="L186" s="400">
        <f t="shared" si="40"/>
        <v>2.6459999999999999</v>
      </c>
      <c r="M186" s="413">
        <f t="shared" si="41"/>
        <v>2.6459999999999999</v>
      </c>
      <c r="N186" s="413">
        <f t="shared" si="42"/>
        <v>2.6459999999999999</v>
      </c>
      <c r="O186" s="393">
        <f t="shared" si="43"/>
        <v>1.4814627517442327</v>
      </c>
      <c r="P186" s="393">
        <f t="shared" si="44"/>
        <v>1.764</v>
      </c>
      <c r="Q186" s="393">
        <f t="shared" si="45"/>
        <v>2.5019999999999998</v>
      </c>
      <c r="R186" s="393">
        <f t="shared" si="46"/>
        <v>3.528</v>
      </c>
      <c r="S186" s="393">
        <f t="shared" si="47"/>
        <v>3.3075000000000001</v>
      </c>
      <c r="T186" s="393">
        <f t="shared" si="48"/>
        <v>2.6459999999999999</v>
      </c>
      <c r="U186" s="413">
        <f t="shared" si="49"/>
        <v>2.6459999999999999</v>
      </c>
    </row>
    <row r="187" spans="1:21">
      <c r="A187">
        <v>20</v>
      </c>
      <c r="B187">
        <v>181</v>
      </c>
      <c r="C187" t="s">
        <v>250</v>
      </c>
      <c r="D187" s="391">
        <f t="shared" si="39"/>
        <v>21.024000000000001</v>
      </c>
      <c r="E187" s="390">
        <v>6.959812640199396</v>
      </c>
      <c r="F187" s="400">
        <v>35.856000000000002</v>
      </c>
      <c r="G187" s="400">
        <v>35.747999999999998</v>
      </c>
      <c r="H187" s="400">
        <v>21.024000000000001</v>
      </c>
      <c r="I187" s="400">
        <v>21.024000000000001</v>
      </c>
      <c r="J187" s="400">
        <v>21.024000000000001</v>
      </c>
      <c r="K187" s="400">
        <v>21.024000000000001</v>
      </c>
      <c r="L187" s="400">
        <f t="shared" si="40"/>
        <v>28.413</v>
      </c>
      <c r="M187" s="413">
        <f t="shared" si="41"/>
        <v>28.413</v>
      </c>
      <c r="N187" s="413">
        <f t="shared" si="42"/>
        <v>28.413</v>
      </c>
      <c r="O187" s="393">
        <f t="shared" si="43"/>
        <v>21.407906320099698</v>
      </c>
      <c r="P187" s="393">
        <f t="shared" si="44"/>
        <v>35.802</v>
      </c>
      <c r="Q187" s="393">
        <f t="shared" si="45"/>
        <v>28.385999999999999</v>
      </c>
      <c r="R187" s="393">
        <f t="shared" si="46"/>
        <v>21.024000000000001</v>
      </c>
      <c r="S187" s="393">
        <f t="shared" si="47"/>
        <v>22.87125</v>
      </c>
      <c r="T187" s="393">
        <f t="shared" si="48"/>
        <v>28.413</v>
      </c>
      <c r="U187" s="413">
        <f t="shared" si="49"/>
        <v>28.413</v>
      </c>
    </row>
    <row r="188" spans="1:21">
      <c r="A188">
        <v>242</v>
      </c>
      <c r="B188">
        <v>182</v>
      </c>
      <c r="C188" t="s">
        <v>251</v>
      </c>
      <c r="D188" s="391">
        <f t="shared" si="39"/>
        <v>0</v>
      </c>
      <c r="E188" s="390">
        <v>0</v>
      </c>
      <c r="F188" s="400">
        <v>0.108</v>
      </c>
      <c r="G188" s="400">
        <v>0.32400000000000001</v>
      </c>
      <c r="H188" s="400">
        <v>0</v>
      </c>
      <c r="I188" s="400">
        <v>0</v>
      </c>
      <c r="J188" s="400">
        <v>0</v>
      </c>
      <c r="K188" s="400">
        <v>0</v>
      </c>
      <c r="L188" s="400">
        <f t="shared" si="40"/>
        <v>0.108</v>
      </c>
      <c r="M188" s="413">
        <f t="shared" si="41"/>
        <v>0.108</v>
      </c>
      <c r="N188" s="413">
        <f t="shared" si="42"/>
        <v>0.108</v>
      </c>
      <c r="O188" s="393">
        <f t="shared" si="43"/>
        <v>5.3999999999999999E-2</v>
      </c>
      <c r="P188" s="393">
        <f t="shared" si="44"/>
        <v>0.216</v>
      </c>
      <c r="Q188" s="393">
        <f t="shared" si="45"/>
        <v>0.16200000000000001</v>
      </c>
      <c r="R188" s="393">
        <f t="shared" si="46"/>
        <v>0</v>
      </c>
      <c r="S188" s="393">
        <f t="shared" si="47"/>
        <v>2.7E-2</v>
      </c>
      <c r="T188" s="393">
        <f t="shared" si="48"/>
        <v>0.108</v>
      </c>
      <c r="U188" s="413">
        <f t="shared" si="49"/>
        <v>0.108</v>
      </c>
    </row>
    <row r="189" spans="1:21">
      <c r="A189">
        <v>419</v>
      </c>
      <c r="B189">
        <v>183</v>
      </c>
      <c r="C189" t="s">
        <v>253</v>
      </c>
      <c r="D189" s="391">
        <f t="shared" si="39"/>
        <v>115.41600000000001</v>
      </c>
      <c r="E189" s="390">
        <v>145.20749557321224</v>
      </c>
      <c r="F189" s="400">
        <v>103.248</v>
      </c>
      <c r="G189" s="400">
        <v>144.036</v>
      </c>
      <c r="H189" s="400">
        <v>115.41600000000001</v>
      </c>
      <c r="I189" s="400">
        <v>115.41600000000001</v>
      </c>
      <c r="J189" s="400">
        <v>115.41600000000001</v>
      </c>
      <c r="K189" s="400">
        <v>115.41600000000001</v>
      </c>
      <c r="L189" s="400">
        <f t="shared" si="40"/>
        <v>119.529</v>
      </c>
      <c r="M189" s="413">
        <f t="shared" si="41"/>
        <v>119.529</v>
      </c>
      <c r="N189" s="413">
        <f t="shared" si="42"/>
        <v>119.529</v>
      </c>
      <c r="O189" s="393">
        <f t="shared" si="43"/>
        <v>124.22774778660613</v>
      </c>
      <c r="P189" s="393">
        <f t="shared" si="44"/>
        <v>123.642</v>
      </c>
      <c r="Q189" s="393">
        <f t="shared" si="45"/>
        <v>129.726</v>
      </c>
      <c r="R189" s="393">
        <f t="shared" si="46"/>
        <v>115.41600000000001</v>
      </c>
      <c r="S189" s="393">
        <f t="shared" si="47"/>
        <v>116.44425000000001</v>
      </c>
      <c r="T189" s="393">
        <f t="shared" si="48"/>
        <v>119.529</v>
      </c>
      <c r="U189" s="413">
        <f t="shared" si="49"/>
        <v>119.529</v>
      </c>
    </row>
    <row r="190" spans="1:21">
      <c r="A190">
        <v>207</v>
      </c>
      <c r="B190">
        <v>184</v>
      </c>
      <c r="C190" t="s">
        <v>524</v>
      </c>
      <c r="D190" s="391">
        <f t="shared" si="39"/>
        <v>1.1880000000000002</v>
      </c>
      <c r="E190" s="390">
        <v>0.31765569401426214</v>
      </c>
      <c r="F190" s="400">
        <v>3.1680000000000001</v>
      </c>
      <c r="G190" s="400">
        <v>0.25200000000000006</v>
      </c>
      <c r="H190" s="400">
        <v>1.1880000000000002</v>
      </c>
      <c r="I190" s="400">
        <v>1.1880000000000002</v>
      </c>
      <c r="J190" s="400">
        <v>1.1880000000000002</v>
      </c>
      <c r="K190" s="400">
        <v>1.1880000000000002</v>
      </c>
      <c r="L190" s="400">
        <f t="shared" si="40"/>
        <v>1.4490000000000003</v>
      </c>
      <c r="M190" s="413">
        <f t="shared" si="41"/>
        <v>1.4490000000000003</v>
      </c>
      <c r="N190" s="413">
        <f t="shared" si="42"/>
        <v>1.4490000000000003</v>
      </c>
      <c r="O190" s="393">
        <f t="shared" si="43"/>
        <v>1.7428278470071312</v>
      </c>
      <c r="P190" s="393">
        <f t="shared" si="44"/>
        <v>1.7100000000000002</v>
      </c>
      <c r="Q190" s="393">
        <f t="shared" si="45"/>
        <v>0.72000000000000008</v>
      </c>
      <c r="R190" s="393">
        <f t="shared" si="46"/>
        <v>1.1880000000000002</v>
      </c>
      <c r="S190" s="393">
        <f t="shared" si="47"/>
        <v>1.2532500000000002</v>
      </c>
      <c r="T190" s="393">
        <f t="shared" si="48"/>
        <v>1.4490000000000003</v>
      </c>
      <c r="U190" s="413">
        <f t="shared" si="49"/>
        <v>1.4490000000000003</v>
      </c>
    </row>
    <row r="191" spans="1:21">
      <c r="A191">
        <v>208</v>
      </c>
      <c r="B191">
        <v>185</v>
      </c>
      <c r="C191" t="s">
        <v>254</v>
      </c>
      <c r="D191" s="391">
        <f t="shared" si="39"/>
        <v>17.64</v>
      </c>
      <c r="E191" s="390">
        <v>37.926135830851692</v>
      </c>
      <c r="F191" s="400">
        <v>41.507999999999996</v>
      </c>
      <c r="G191" s="400">
        <v>35.244</v>
      </c>
      <c r="H191" s="400">
        <v>17.64</v>
      </c>
      <c r="I191" s="400">
        <v>17.64</v>
      </c>
      <c r="J191" s="400">
        <v>17.64</v>
      </c>
      <c r="K191" s="400">
        <v>17.64</v>
      </c>
      <c r="L191" s="400">
        <f t="shared" si="40"/>
        <v>28.007999999999999</v>
      </c>
      <c r="M191" s="413">
        <f t="shared" si="41"/>
        <v>28.007999999999999</v>
      </c>
      <c r="N191" s="413">
        <f t="shared" si="42"/>
        <v>28.007999999999999</v>
      </c>
      <c r="O191" s="393">
        <f t="shared" si="43"/>
        <v>39.717067915425844</v>
      </c>
      <c r="P191" s="393">
        <f t="shared" si="44"/>
        <v>38.375999999999998</v>
      </c>
      <c r="Q191" s="393">
        <f t="shared" si="45"/>
        <v>26.442</v>
      </c>
      <c r="R191" s="393">
        <f t="shared" si="46"/>
        <v>17.64</v>
      </c>
      <c r="S191" s="393">
        <f t="shared" si="47"/>
        <v>20.231999999999999</v>
      </c>
      <c r="T191" s="393">
        <f t="shared" si="48"/>
        <v>28.007999999999999</v>
      </c>
      <c r="U191" s="413">
        <f t="shared" si="49"/>
        <v>28.007999999999999</v>
      </c>
    </row>
    <row r="192" spans="1:21">
      <c r="A192">
        <v>181</v>
      </c>
      <c r="B192">
        <v>186</v>
      </c>
      <c r="C192" t="s">
        <v>255</v>
      </c>
      <c r="D192" s="391">
        <f t="shared" si="39"/>
        <v>0</v>
      </c>
      <c r="E192" s="390">
        <v>0</v>
      </c>
      <c r="F192" s="400">
        <v>0</v>
      </c>
      <c r="G192" s="400">
        <v>0</v>
      </c>
      <c r="H192" s="400">
        <v>0</v>
      </c>
      <c r="I192" s="400">
        <v>0</v>
      </c>
      <c r="J192" s="400">
        <v>0</v>
      </c>
      <c r="K192" s="400">
        <v>0</v>
      </c>
      <c r="L192" s="400">
        <f t="shared" si="40"/>
        <v>0</v>
      </c>
      <c r="M192" s="413">
        <f t="shared" si="41"/>
        <v>0</v>
      </c>
      <c r="N192" s="413">
        <f t="shared" si="42"/>
        <v>0</v>
      </c>
      <c r="O192" s="393">
        <f t="shared" si="43"/>
        <v>0</v>
      </c>
      <c r="P192" s="393">
        <f t="shared" si="44"/>
        <v>0</v>
      </c>
      <c r="Q192" s="393">
        <f t="shared" si="45"/>
        <v>0</v>
      </c>
      <c r="R192" s="393">
        <f t="shared" si="46"/>
        <v>0</v>
      </c>
      <c r="S192" s="393">
        <f t="shared" si="47"/>
        <v>0</v>
      </c>
      <c r="T192" s="393">
        <f t="shared" si="48"/>
        <v>0</v>
      </c>
      <c r="U192" s="413">
        <f t="shared" si="49"/>
        <v>0</v>
      </c>
    </row>
    <row r="193" spans="1:21">
      <c r="A193">
        <v>176</v>
      </c>
      <c r="B193">
        <v>187</v>
      </c>
      <c r="C193" t="s">
        <v>542</v>
      </c>
      <c r="D193" s="391">
        <f t="shared" si="39"/>
        <v>0.32400000000000001</v>
      </c>
      <c r="E193" s="390">
        <v>0</v>
      </c>
      <c r="F193" s="400">
        <v>3.6000000000000004E-2</v>
      </c>
      <c r="G193" s="400">
        <v>7.2000000000000008E-2</v>
      </c>
      <c r="H193" s="400">
        <v>0.32400000000000001</v>
      </c>
      <c r="I193" s="400">
        <v>0.32400000000000001</v>
      </c>
      <c r="J193" s="400">
        <v>0.32400000000000001</v>
      </c>
      <c r="K193" s="400">
        <v>0.32400000000000001</v>
      </c>
      <c r="L193" s="400">
        <f t="shared" si="40"/>
        <v>0.189</v>
      </c>
      <c r="M193" s="413">
        <f t="shared" si="41"/>
        <v>0.189</v>
      </c>
      <c r="N193" s="413">
        <f t="shared" si="42"/>
        <v>0.189</v>
      </c>
      <c r="O193" s="393">
        <f t="shared" si="43"/>
        <v>1.8000000000000002E-2</v>
      </c>
      <c r="P193" s="393">
        <f t="shared" si="44"/>
        <v>5.4000000000000006E-2</v>
      </c>
      <c r="Q193" s="393">
        <f t="shared" si="45"/>
        <v>0.19800000000000001</v>
      </c>
      <c r="R193" s="393">
        <f t="shared" si="46"/>
        <v>0.32400000000000001</v>
      </c>
      <c r="S193" s="393">
        <f t="shared" si="47"/>
        <v>0.29025000000000001</v>
      </c>
      <c r="T193" s="393">
        <f t="shared" si="48"/>
        <v>0.189</v>
      </c>
      <c r="U193" s="413">
        <f t="shared" si="49"/>
        <v>0.189</v>
      </c>
    </row>
    <row r="194" spans="1:21">
      <c r="A194">
        <v>316</v>
      </c>
      <c r="B194">
        <v>188</v>
      </c>
      <c r="C194" t="s">
        <v>256</v>
      </c>
      <c r="D194" s="391">
        <f t="shared" si="39"/>
        <v>17.676000000000002</v>
      </c>
      <c r="E194" s="390">
        <v>28.081456096973582</v>
      </c>
      <c r="F194" s="400">
        <v>25.847999999999999</v>
      </c>
      <c r="G194" s="400">
        <v>15.696000000000002</v>
      </c>
      <c r="H194" s="400">
        <v>17.676000000000002</v>
      </c>
      <c r="I194" s="400">
        <v>17.676000000000002</v>
      </c>
      <c r="J194" s="400">
        <v>17.676000000000002</v>
      </c>
      <c r="K194" s="400">
        <v>17.676000000000002</v>
      </c>
      <c r="L194" s="400">
        <f t="shared" si="40"/>
        <v>19.224</v>
      </c>
      <c r="M194" s="413">
        <f t="shared" si="41"/>
        <v>19.224</v>
      </c>
      <c r="N194" s="413">
        <f t="shared" si="42"/>
        <v>19.224</v>
      </c>
      <c r="O194" s="393">
        <f t="shared" si="43"/>
        <v>26.964728048486791</v>
      </c>
      <c r="P194" s="393">
        <f t="shared" si="44"/>
        <v>20.771999999999998</v>
      </c>
      <c r="Q194" s="393">
        <f t="shared" si="45"/>
        <v>16.686</v>
      </c>
      <c r="R194" s="393">
        <f t="shared" si="46"/>
        <v>17.676000000000002</v>
      </c>
      <c r="S194" s="393">
        <f t="shared" si="47"/>
        <v>18.063000000000002</v>
      </c>
      <c r="T194" s="393">
        <f t="shared" si="48"/>
        <v>19.224</v>
      </c>
      <c r="U194" s="413">
        <f t="shared" si="49"/>
        <v>19.224</v>
      </c>
    </row>
    <row r="195" spans="1:21">
      <c r="A195">
        <v>367</v>
      </c>
      <c r="B195">
        <v>189</v>
      </c>
      <c r="C195" t="s">
        <v>257</v>
      </c>
      <c r="D195" s="391">
        <f t="shared" si="39"/>
        <v>8.4239999999999995</v>
      </c>
      <c r="E195" s="390">
        <v>6.5494827480916022</v>
      </c>
      <c r="F195" s="400">
        <v>14.148000000000001</v>
      </c>
      <c r="G195" s="400">
        <v>10.512</v>
      </c>
      <c r="H195" s="400">
        <v>8.4239999999999995</v>
      </c>
      <c r="I195" s="400">
        <v>8.4239999999999995</v>
      </c>
      <c r="J195" s="400">
        <v>8.4239999999999995</v>
      </c>
      <c r="K195" s="400">
        <v>8.4239999999999995</v>
      </c>
      <c r="L195" s="400">
        <f t="shared" si="40"/>
        <v>10.377000000000001</v>
      </c>
      <c r="M195" s="413">
        <f t="shared" si="41"/>
        <v>10.377000000000001</v>
      </c>
      <c r="N195" s="413">
        <f t="shared" si="42"/>
        <v>10.377000000000001</v>
      </c>
      <c r="O195" s="393">
        <f t="shared" si="43"/>
        <v>10.348741374045801</v>
      </c>
      <c r="P195" s="393">
        <f t="shared" si="44"/>
        <v>12.330000000000002</v>
      </c>
      <c r="Q195" s="393">
        <f t="shared" si="45"/>
        <v>9.468</v>
      </c>
      <c r="R195" s="393">
        <f t="shared" si="46"/>
        <v>8.4239999999999995</v>
      </c>
      <c r="S195" s="393">
        <f t="shared" si="47"/>
        <v>8.9122500000000002</v>
      </c>
      <c r="T195" s="393">
        <f t="shared" si="48"/>
        <v>10.377000000000001</v>
      </c>
      <c r="U195" s="413">
        <f t="shared" si="49"/>
        <v>10.377000000000001</v>
      </c>
    </row>
    <row r="196" spans="1:21">
      <c r="A196">
        <v>269</v>
      </c>
      <c r="B196">
        <v>190</v>
      </c>
      <c r="C196" t="s">
        <v>258</v>
      </c>
      <c r="D196" s="391">
        <f t="shared" si="39"/>
        <v>0.108</v>
      </c>
      <c r="E196" s="390">
        <v>5.9003162239711873E-2</v>
      </c>
      <c r="F196" s="400">
        <v>0</v>
      </c>
      <c r="G196" s="400">
        <v>0</v>
      </c>
      <c r="H196" s="400">
        <v>0.108</v>
      </c>
      <c r="I196" s="400">
        <v>0.108</v>
      </c>
      <c r="J196" s="400">
        <v>0.108</v>
      </c>
      <c r="K196" s="400">
        <v>0.108</v>
      </c>
      <c r="L196" s="400">
        <f t="shared" si="40"/>
        <v>5.3999999999999999E-2</v>
      </c>
      <c r="M196" s="413">
        <f t="shared" si="41"/>
        <v>5.3999999999999999E-2</v>
      </c>
      <c r="N196" s="413">
        <f t="shared" si="42"/>
        <v>5.3999999999999999E-2</v>
      </c>
      <c r="O196" s="393">
        <f t="shared" si="43"/>
        <v>2.9501581119855937E-2</v>
      </c>
      <c r="P196" s="393">
        <f t="shared" si="44"/>
        <v>0</v>
      </c>
      <c r="Q196" s="393">
        <f t="shared" si="45"/>
        <v>5.3999999999999999E-2</v>
      </c>
      <c r="R196" s="393">
        <f t="shared" si="46"/>
        <v>0.108</v>
      </c>
      <c r="S196" s="393">
        <f t="shared" si="47"/>
        <v>9.4500000000000001E-2</v>
      </c>
      <c r="T196" s="393">
        <f t="shared" si="48"/>
        <v>5.3999999999999999E-2</v>
      </c>
      <c r="U196" s="413">
        <f t="shared" si="49"/>
        <v>5.3999999999999999E-2</v>
      </c>
    </row>
    <row r="197" spans="1:21">
      <c r="A197">
        <v>301</v>
      </c>
      <c r="B197">
        <v>191</v>
      </c>
      <c r="C197" t="s">
        <v>259</v>
      </c>
      <c r="D197" s="391">
        <f t="shared" si="39"/>
        <v>4.5</v>
      </c>
      <c r="E197" s="390">
        <v>0.61703118970525717</v>
      </c>
      <c r="F197" s="400">
        <v>0.18000000000000002</v>
      </c>
      <c r="G197" s="400">
        <v>0.14400000000000002</v>
      </c>
      <c r="H197" s="400">
        <v>4.5</v>
      </c>
      <c r="I197" s="400">
        <v>4.5</v>
      </c>
      <c r="J197" s="400">
        <v>4.5</v>
      </c>
      <c r="K197" s="400">
        <v>4.5</v>
      </c>
      <c r="L197" s="400">
        <f t="shared" si="40"/>
        <v>2.331</v>
      </c>
      <c r="M197" s="413">
        <f t="shared" si="41"/>
        <v>2.331</v>
      </c>
      <c r="N197" s="413">
        <f t="shared" si="42"/>
        <v>2.331</v>
      </c>
      <c r="O197" s="393">
        <f t="shared" si="43"/>
        <v>0.39851559485262861</v>
      </c>
      <c r="P197" s="393">
        <f t="shared" si="44"/>
        <v>0.16200000000000003</v>
      </c>
      <c r="Q197" s="393">
        <f t="shared" si="45"/>
        <v>2.3220000000000001</v>
      </c>
      <c r="R197" s="393">
        <f t="shared" si="46"/>
        <v>4.5</v>
      </c>
      <c r="S197" s="393">
        <f t="shared" si="47"/>
        <v>3.9577499999999999</v>
      </c>
      <c r="T197" s="393">
        <f t="shared" si="48"/>
        <v>2.331</v>
      </c>
      <c r="U197" s="413">
        <f t="shared" si="49"/>
        <v>2.331</v>
      </c>
    </row>
    <row r="198" spans="1:21">
      <c r="A198">
        <v>104</v>
      </c>
      <c r="B198">
        <v>192</v>
      </c>
      <c r="C198" t="s">
        <v>260</v>
      </c>
      <c r="D198" s="391">
        <f t="shared" si="39"/>
        <v>0</v>
      </c>
      <c r="E198" s="390">
        <v>0</v>
      </c>
      <c r="F198" s="400">
        <v>0</v>
      </c>
      <c r="G198" s="400">
        <v>0</v>
      </c>
      <c r="H198" s="400">
        <v>0</v>
      </c>
      <c r="I198" s="400">
        <v>0</v>
      </c>
      <c r="J198" s="400">
        <v>0</v>
      </c>
      <c r="K198" s="400">
        <v>0</v>
      </c>
      <c r="L198" s="400">
        <f t="shared" si="40"/>
        <v>0</v>
      </c>
      <c r="M198" s="413">
        <f t="shared" si="41"/>
        <v>0</v>
      </c>
      <c r="N198" s="413">
        <f t="shared" si="42"/>
        <v>0</v>
      </c>
      <c r="O198" s="393">
        <f t="shared" si="43"/>
        <v>0</v>
      </c>
      <c r="P198" s="393">
        <f t="shared" si="44"/>
        <v>0</v>
      </c>
      <c r="Q198" s="393">
        <f t="shared" si="45"/>
        <v>0</v>
      </c>
      <c r="R198" s="393">
        <f t="shared" si="46"/>
        <v>0</v>
      </c>
      <c r="S198" s="393">
        <f t="shared" si="47"/>
        <v>0</v>
      </c>
      <c r="T198" s="393">
        <f t="shared" si="48"/>
        <v>0</v>
      </c>
      <c r="U198" s="413">
        <f t="shared" si="49"/>
        <v>0</v>
      </c>
    </row>
    <row r="199" spans="1:21">
      <c r="A199">
        <v>118</v>
      </c>
      <c r="B199">
        <v>193</v>
      </c>
      <c r="C199" t="s">
        <v>261</v>
      </c>
      <c r="D199" s="391">
        <f t="shared" ref="D199:D262" si="50">I199</f>
        <v>204.19200000000001</v>
      </c>
      <c r="E199" s="390">
        <v>211.10035341959335</v>
      </c>
      <c r="F199" s="400">
        <v>210.67200000000003</v>
      </c>
      <c r="G199" s="400">
        <v>219.78</v>
      </c>
      <c r="H199" s="400">
        <v>204.19200000000001</v>
      </c>
      <c r="I199" s="400">
        <v>204.19200000000001</v>
      </c>
      <c r="J199" s="400">
        <v>204.19200000000001</v>
      </c>
      <c r="K199" s="400">
        <v>204.19200000000001</v>
      </c>
      <c r="L199" s="400">
        <f t="shared" ref="L199:L262" si="51">AVERAGE(F199:I199)</f>
        <v>209.709</v>
      </c>
      <c r="M199" s="413">
        <f t="shared" ref="M199:M262" si="52">L199</f>
        <v>209.709</v>
      </c>
      <c r="N199" s="413">
        <f t="shared" ref="N199:N262" si="53">L199</f>
        <v>209.709</v>
      </c>
      <c r="O199" s="393">
        <f t="shared" ref="O199:O262" si="54">AVERAGE(E199:F199)</f>
        <v>210.8861767097967</v>
      </c>
      <c r="P199" s="393">
        <f t="shared" ref="P199:P262" si="55">AVERAGE(F199:G199)</f>
        <v>215.226</v>
      </c>
      <c r="Q199" s="393">
        <f t="shared" ref="Q199:Q262" si="56">AVERAGE(G199:H199)</f>
        <v>211.98599999999999</v>
      </c>
      <c r="R199" s="393">
        <f t="shared" ref="R199:R262" si="57">AVERAGE(H199:I199)</f>
        <v>204.19200000000001</v>
      </c>
      <c r="S199" s="393">
        <f t="shared" ref="S199:S262" si="58">AVERAGE(I199:L199)</f>
        <v>205.57125000000002</v>
      </c>
      <c r="T199" s="393">
        <f t="shared" si="48"/>
        <v>209.709</v>
      </c>
      <c r="U199" s="413">
        <f t="shared" si="49"/>
        <v>209.709</v>
      </c>
    </row>
    <row r="200" spans="1:21">
      <c r="A200">
        <v>305</v>
      </c>
      <c r="B200">
        <v>194</v>
      </c>
      <c r="C200" t="s">
        <v>262</v>
      </c>
      <c r="D200" s="391">
        <f t="shared" si="50"/>
        <v>15.48</v>
      </c>
      <c r="E200" s="390">
        <v>204.57469939054522</v>
      </c>
      <c r="F200" s="400">
        <v>0</v>
      </c>
      <c r="G200" s="400">
        <v>0</v>
      </c>
      <c r="H200" s="400">
        <v>15.48</v>
      </c>
      <c r="I200" s="400">
        <v>15.48</v>
      </c>
      <c r="J200" s="400">
        <v>15.48</v>
      </c>
      <c r="K200" s="400">
        <v>15.48</v>
      </c>
      <c r="L200" s="400">
        <f t="shared" si="51"/>
        <v>7.74</v>
      </c>
      <c r="M200" s="413">
        <f t="shared" si="52"/>
        <v>7.74</v>
      </c>
      <c r="N200" s="413">
        <f t="shared" si="53"/>
        <v>7.74</v>
      </c>
      <c r="O200" s="393">
        <f t="shared" si="54"/>
        <v>102.28734969527261</v>
      </c>
      <c r="P200" s="393">
        <f t="shared" si="55"/>
        <v>0</v>
      </c>
      <c r="Q200" s="393">
        <f t="shared" si="56"/>
        <v>7.74</v>
      </c>
      <c r="R200" s="393">
        <f t="shared" si="57"/>
        <v>15.48</v>
      </c>
      <c r="S200" s="393">
        <f t="shared" si="58"/>
        <v>13.545</v>
      </c>
      <c r="T200" s="393">
        <f t="shared" ref="T200:T263" si="59">N200</f>
        <v>7.74</v>
      </c>
      <c r="U200" s="413">
        <f t="shared" ref="U200:U263" si="60">N200</f>
        <v>7.74</v>
      </c>
    </row>
    <row r="201" spans="1:21">
      <c r="A201">
        <v>147</v>
      </c>
      <c r="B201">
        <v>195</v>
      </c>
      <c r="C201" t="s">
        <v>12</v>
      </c>
      <c r="D201" s="391">
        <f t="shared" si="50"/>
        <v>227.62799999999999</v>
      </c>
      <c r="E201" s="390">
        <v>210.57817336188438</v>
      </c>
      <c r="F201" s="400">
        <v>213.48</v>
      </c>
      <c r="G201" s="400">
        <v>231.768</v>
      </c>
      <c r="H201" s="400">
        <v>227.62799999999999</v>
      </c>
      <c r="I201" s="400">
        <v>227.62799999999999</v>
      </c>
      <c r="J201" s="400">
        <v>227.62799999999999</v>
      </c>
      <c r="K201" s="400">
        <v>227.62799999999999</v>
      </c>
      <c r="L201" s="400">
        <f t="shared" si="51"/>
        <v>225.12599999999998</v>
      </c>
      <c r="M201" s="413">
        <f t="shared" si="52"/>
        <v>225.12599999999998</v>
      </c>
      <c r="N201" s="413">
        <f t="shared" si="53"/>
        <v>225.12599999999998</v>
      </c>
      <c r="O201" s="393">
        <f t="shared" si="54"/>
        <v>212.02908668094219</v>
      </c>
      <c r="P201" s="393">
        <f t="shared" si="55"/>
        <v>222.624</v>
      </c>
      <c r="Q201" s="393">
        <f t="shared" si="56"/>
        <v>229.69799999999998</v>
      </c>
      <c r="R201" s="393">
        <f t="shared" si="57"/>
        <v>227.62799999999999</v>
      </c>
      <c r="S201" s="393">
        <f t="shared" si="58"/>
        <v>227.0025</v>
      </c>
      <c r="T201" s="393">
        <f t="shared" si="59"/>
        <v>225.12599999999998</v>
      </c>
      <c r="U201" s="413">
        <f t="shared" si="60"/>
        <v>225.12599999999998</v>
      </c>
    </row>
    <row r="202" spans="1:21">
      <c r="A202">
        <v>374</v>
      </c>
      <c r="B202">
        <v>196</v>
      </c>
      <c r="C202" t="s">
        <v>525</v>
      </c>
      <c r="D202" s="391">
        <f t="shared" si="50"/>
        <v>1.3680000000000001</v>
      </c>
      <c r="E202" s="390">
        <v>4.9429795158286787</v>
      </c>
      <c r="F202" s="400">
        <v>2.52</v>
      </c>
      <c r="G202" s="400">
        <v>1.1160000000000001</v>
      </c>
      <c r="H202" s="400">
        <v>1.3680000000000001</v>
      </c>
      <c r="I202" s="400">
        <v>1.3680000000000001</v>
      </c>
      <c r="J202" s="400">
        <v>1.3680000000000001</v>
      </c>
      <c r="K202" s="400">
        <v>1.3680000000000001</v>
      </c>
      <c r="L202" s="400">
        <f t="shared" si="51"/>
        <v>1.5930000000000002</v>
      </c>
      <c r="M202" s="413">
        <f t="shared" si="52"/>
        <v>1.5930000000000002</v>
      </c>
      <c r="N202" s="413">
        <f t="shared" si="53"/>
        <v>1.5930000000000002</v>
      </c>
      <c r="O202" s="393">
        <f t="shared" si="54"/>
        <v>3.7314897579143391</v>
      </c>
      <c r="P202" s="393">
        <f t="shared" si="55"/>
        <v>1.8180000000000001</v>
      </c>
      <c r="Q202" s="393">
        <f t="shared" si="56"/>
        <v>1.242</v>
      </c>
      <c r="R202" s="393">
        <f t="shared" si="57"/>
        <v>1.3680000000000001</v>
      </c>
      <c r="S202" s="393">
        <f t="shared" si="58"/>
        <v>1.42425</v>
      </c>
      <c r="T202" s="393">
        <f t="shared" si="59"/>
        <v>1.5930000000000002</v>
      </c>
      <c r="U202" s="413">
        <f t="shared" si="60"/>
        <v>1.5930000000000002</v>
      </c>
    </row>
    <row r="203" spans="1:21">
      <c r="A203">
        <v>210</v>
      </c>
      <c r="B203">
        <v>197</v>
      </c>
      <c r="C203" t="s">
        <v>263</v>
      </c>
      <c r="D203" s="391">
        <f t="shared" si="50"/>
        <v>20.88</v>
      </c>
      <c r="E203" s="390">
        <v>28.020224491503249</v>
      </c>
      <c r="F203" s="400">
        <v>24.623999999999999</v>
      </c>
      <c r="G203" s="400">
        <v>17.244</v>
      </c>
      <c r="H203" s="400">
        <v>20.88</v>
      </c>
      <c r="I203" s="400">
        <v>20.88</v>
      </c>
      <c r="J203" s="400">
        <v>20.88</v>
      </c>
      <c r="K203" s="400">
        <v>20.88</v>
      </c>
      <c r="L203" s="400">
        <f t="shared" si="51"/>
        <v>20.906999999999996</v>
      </c>
      <c r="M203" s="413">
        <f t="shared" si="52"/>
        <v>20.906999999999996</v>
      </c>
      <c r="N203" s="413">
        <f t="shared" si="53"/>
        <v>20.906999999999996</v>
      </c>
      <c r="O203" s="393">
        <f t="shared" si="54"/>
        <v>26.322112245751626</v>
      </c>
      <c r="P203" s="393">
        <f t="shared" si="55"/>
        <v>20.933999999999997</v>
      </c>
      <c r="Q203" s="393">
        <f t="shared" si="56"/>
        <v>19.061999999999998</v>
      </c>
      <c r="R203" s="393">
        <f t="shared" si="57"/>
        <v>20.88</v>
      </c>
      <c r="S203" s="393">
        <f t="shared" si="58"/>
        <v>20.886749999999999</v>
      </c>
      <c r="T203" s="393">
        <f t="shared" si="59"/>
        <v>20.906999999999996</v>
      </c>
      <c r="U203" s="413">
        <f t="shared" si="60"/>
        <v>20.906999999999996</v>
      </c>
    </row>
    <row r="204" spans="1:21">
      <c r="A204">
        <v>48</v>
      </c>
      <c r="B204">
        <v>198</v>
      </c>
      <c r="C204" t="s">
        <v>264</v>
      </c>
      <c r="D204" s="391">
        <f t="shared" si="50"/>
        <v>59.472000000000001</v>
      </c>
      <c r="E204" s="390">
        <v>187.3812243760882</v>
      </c>
      <c r="F204" s="400">
        <v>118.58399999999999</v>
      </c>
      <c r="G204" s="400">
        <v>96.695999999999998</v>
      </c>
      <c r="H204" s="400">
        <v>59.472000000000001</v>
      </c>
      <c r="I204" s="400">
        <v>59.472000000000001</v>
      </c>
      <c r="J204" s="400">
        <v>59.472000000000001</v>
      </c>
      <c r="K204" s="400">
        <v>59.472000000000001</v>
      </c>
      <c r="L204" s="400">
        <f t="shared" si="51"/>
        <v>83.555999999999983</v>
      </c>
      <c r="M204" s="413">
        <f t="shared" si="52"/>
        <v>83.555999999999983</v>
      </c>
      <c r="N204" s="413">
        <f t="shared" si="53"/>
        <v>83.555999999999983</v>
      </c>
      <c r="O204" s="393">
        <f t="shared" si="54"/>
        <v>152.9826121880441</v>
      </c>
      <c r="P204" s="393">
        <f t="shared" si="55"/>
        <v>107.63999999999999</v>
      </c>
      <c r="Q204" s="393">
        <f t="shared" si="56"/>
        <v>78.084000000000003</v>
      </c>
      <c r="R204" s="393">
        <f t="shared" si="57"/>
        <v>59.472000000000001</v>
      </c>
      <c r="S204" s="393">
        <f t="shared" si="58"/>
        <v>65.492999999999995</v>
      </c>
      <c r="T204" s="393">
        <f t="shared" si="59"/>
        <v>83.555999999999983</v>
      </c>
      <c r="U204" s="413">
        <f t="shared" si="60"/>
        <v>83.555999999999983</v>
      </c>
    </row>
    <row r="205" spans="1:21">
      <c r="A205">
        <v>80</v>
      </c>
      <c r="B205">
        <v>199</v>
      </c>
      <c r="C205" t="s">
        <v>265</v>
      </c>
      <c r="D205" s="391">
        <f t="shared" si="50"/>
        <v>0</v>
      </c>
      <c r="E205" s="390">
        <v>3.1046480470688311</v>
      </c>
      <c r="F205" s="400">
        <v>0</v>
      </c>
      <c r="G205" s="400">
        <v>0</v>
      </c>
      <c r="H205" s="400">
        <v>0</v>
      </c>
      <c r="I205" s="400">
        <v>0</v>
      </c>
      <c r="J205" s="400">
        <v>0</v>
      </c>
      <c r="K205" s="400">
        <v>0</v>
      </c>
      <c r="L205" s="400">
        <f t="shared" si="51"/>
        <v>0</v>
      </c>
      <c r="M205" s="413">
        <f t="shared" si="52"/>
        <v>0</v>
      </c>
      <c r="N205" s="413">
        <f t="shared" si="53"/>
        <v>0</v>
      </c>
      <c r="O205" s="393">
        <f t="shared" si="54"/>
        <v>1.5523240235344156</v>
      </c>
      <c r="P205" s="393">
        <f t="shared" si="55"/>
        <v>0</v>
      </c>
      <c r="Q205" s="393">
        <f t="shared" si="56"/>
        <v>0</v>
      </c>
      <c r="R205" s="393">
        <f t="shared" si="57"/>
        <v>0</v>
      </c>
      <c r="S205" s="393">
        <f t="shared" si="58"/>
        <v>0</v>
      </c>
      <c r="T205" s="393">
        <f t="shared" si="59"/>
        <v>0</v>
      </c>
      <c r="U205" s="413">
        <f t="shared" si="60"/>
        <v>0</v>
      </c>
    </row>
    <row r="206" spans="1:21">
      <c r="A206">
        <v>214</v>
      </c>
      <c r="B206">
        <v>200</v>
      </c>
      <c r="C206" t="s">
        <v>266</v>
      </c>
      <c r="D206" s="391">
        <f t="shared" si="50"/>
        <v>33.372</v>
      </c>
      <c r="E206" s="390">
        <v>65.775518714401954</v>
      </c>
      <c r="F206" s="400">
        <v>71.532000000000011</v>
      </c>
      <c r="G206" s="400">
        <v>73.512000000000015</v>
      </c>
      <c r="H206" s="400">
        <v>33.372</v>
      </c>
      <c r="I206" s="400">
        <v>33.372</v>
      </c>
      <c r="J206" s="400">
        <v>33.372</v>
      </c>
      <c r="K206" s="400">
        <v>33.372</v>
      </c>
      <c r="L206" s="400">
        <f t="shared" si="51"/>
        <v>52.947000000000017</v>
      </c>
      <c r="M206" s="413">
        <f t="shared" si="52"/>
        <v>52.947000000000017</v>
      </c>
      <c r="N206" s="413">
        <f t="shared" si="53"/>
        <v>52.947000000000017</v>
      </c>
      <c r="O206" s="393">
        <f t="shared" si="54"/>
        <v>68.653759357200983</v>
      </c>
      <c r="P206" s="393">
        <f t="shared" si="55"/>
        <v>72.52200000000002</v>
      </c>
      <c r="Q206" s="393">
        <f t="shared" si="56"/>
        <v>53.442000000000007</v>
      </c>
      <c r="R206" s="393">
        <f t="shared" si="57"/>
        <v>33.372</v>
      </c>
      <c r="S206" s="393">
        <f t="shared" si="58"/>
        <v>38.265750000000004</v>
      </c>
      <c r="T206" s="393">
        <f t="shared" si="59"/>
        <v>52.947000000000017</v>
      </c>
      <c r="U206" s="413">
        <f t="shared" si="60"/>
        <v>52.947000000000017</v>
      </c>
    </row>
    <row r="207" spans="1:21">
      <c r="A207">
        <v>216</v>
      </c>
      <c r="B207">
        <v>201</v>
      </c>
      <c r="C207" t="s">
        <v>267</v>
      </c>
      <c r="D207" s="391">
        <f t="shared" si="50"/>
        <v>7.2000000000000008E-2</v>
      </c>
      <c r="E207" s="390">
        <v>0</v>
      </c>
      <c r="F207" s="400">
        <v>0.36000000000000004</v>
      </c>
      <c r="G207" s="400">
        <v>0.32400000000000001</v>
      </c>
      <c r="H207" s="400">
        <v>7.2000000000000008E-2</v>
      </c>
      <c r="I207" s="400">
        <v>7.2000000000000008E-2</v>
      </c>
      <c r="J207" s="400">
        <v>7.2000000000000008E-2</v>
      </c>
      <c r="K207" s="400">
        <v>7.2000000000000008E-2</v>
      </c>
      <c r="L207" s="400">
        <f t="shared" si="51"/>
        <v>0.20700000000000002</v>
      </c>
      <c r="M207" s="413">
        <f t="shared" si="52"/>
        <v>0.20700000000000002</v>
      </c>
      <c r="N207" s="413">
        <f t="shared" si="53"/>
        <v>0.20700000000000002</v>
      </c>
      <c r="O207" s="393">
        <f t="shared" si="54"/>
        <v>0.18000000000000002</v>
      </c>
      <c r="P207" s="393">
        <f t="shared" si="55"/>
        <v>0.34200000000000003</v>
      </c>
      <c r="Q207" s="393">
        <f t="shared" si="56"/>
        <v>0.19800000000000001</v>
      </c>
      <c r="R207" s="393">
        <f t="shared" si="57"/>
        <v>7.2000000000000008E-2</v>
      </c>
      <c r="S207" s="393">
        <f t="shared" si="58"/>
        <v>0.10575000000000001</v>
      </c>
      <c r="T207" s="393">
        <f t="shared" si="59"/>
        <v>0.20700000000000002</v>
      </c>
      <c r="U207" s="413">
        <f t="shared" si="60"/>
        <v>0.20700000000000002</v>
      </c>
    </row>
    <row r="208" spans="1:21">
      <c r="A208">
        <v>422</v>
      </c>
      <c r="B208">
        <v>202</v>
      </c>
      <c r="C208" t="s">
        <v>158</v>
      </c>
      <c r="D208" s="391">
        <f t="shared" si="50"/>
        <v>244.90800000000002</v>
      </c>
      <c r="E208" s="390">
        <v>21.714912521109767</v>
      </c>
      <c r="F208" s="400">
        <v>6.2279999999999998</v>
      </c>
      <c r="G208" s="400">
        <v>193.82400000000001</v>
      </c>
      <c r="H208" s="400">
        <v>244.90800000000002</v>
      </c>
      <c r="I208" s="400">
        <v>244.90800000000002</v>
      </c>
      <c r="J208" s="400">
        <v>244.90800000000002</v>
      </c>
      <c r="K208" s="400">
        <v>244.90800000000002</v>
      </c>
      <c r="L208" s="400">
        <f t="shared" si="51"/>
        <v>172.46700000000001</v>
      </c>
      <c r="M208" s="413">
        <f t="shared" si="52"/>
        <v>172.46700000000001</v>
      </c>
      <c r="N208" s="413">
        <f t="shared" si="53"/>
        <v>172.46700000000001</v>
      </c>
      <c r="O208" s="393">
        <f t="shared" si="54"/>
        <v>13.971456260554884</v>
      </c>
      <c r="P208" s="393">
        <f t="shared" si="55"/>
        <v>100.02600000000001</v>
      </c>
      <c r="Q208" s="393">
        <f t="shared" si="56"/>
        <v>219.36600000000001</v>
      </c>
      <c r="R208" s="393">
        <f t="shared" si="57"/>
        <v>244.90800000000002</v>
      </c>
      <c r="S208" s="393">
        <f t="shared" si="58"/>
        <v>226.79775000000001</v>
      </c>
      <c r="T208" s="393">
        <f t="shared" si="59"/>
        <v>172.46700000000001</v>
      </c>
      <c r="U208" s="413">
        <f t="shared" si="60"/>
        <v>172.46700000000001</v>
      </c>
    </row>
    <row r="209" spans="1:21">
      <c r="A209">
        <v>450</v>
      </c>
      <c r="B209">
        <v>203</v>
      </c>
      <c r="C209" t="s">
        <v>268</v>
      </c>
      <c r="D209" s="391">
        <f t="shared" si="50"/>
        <v>0.46800000000000003</v>
      </c>
      <c r="E209" s="390">
        <v>0</v>
      </c>
      <c r="F209" s="400">
        <v>0</v>
      </c>
      <c r="G209" s="400">
        <v>0.68400000000000005</v>
      </c>
      <c r="H209" s="400">
        <v>0.46800000000000003</v>
      </c>
      <c r="I209" s="400">
        <v>0.46800000000000003</v>
      </c>
      <c r="J209" s="400">
        <v>0.46800000000000003</v>
      </c>
      <c r="K209" s="400">
        <v>0.46800000000000003</v>
      </c>
      <c r="L209" s="400">
        <f t="shared" si="51"/>
        <v>0.40500000000000003</v>
      </c>
      <c r="M209" s="413">
        <f t="shared" si="52"/>
        <v>0.40500000000000003</v>
      </c>
      <c r="N209" s="413">
        <f t="shared" si="53"/>
        <v>0.40500000000000003</v>
      </c>
      <c r="O209" s="393">
        <f t="shared" si="54"/>
        <v>0</v>
      </c>
      <c r="P209" s="393">
        <f t="shared" si="55"/>
        <v>0.34200000000000003</v>
      </c>
      <c r="Q209" s="393">
        <f t="shared" si="56"/>
        <v>0.57600000000000007</v>
      </c>
      <c r="R209" s="393">
        <f t="shared" si="57"/>
        <v>0.46800000000000003</v>
      </c>
      <c r="S209" s="393">
        <f t="shared" si="58"/>
        <v>0.45225000000000004</v>
      </c>
      <c r="T209" s="393">
        <f t="shared" si="59"/>
        <v>0.40500000000000003</v>
      </c>
      <c r="U209" s="413">
        <f t="shared" si="60"/>
        <v>0.40500000000000003</v>
      </c>
    </row>
    <row r="210" spans="1:21">
      <c r="A210">
        <v>314</v>
      </c>
      <c r="B210">
        <v>204</v>
      </c>
      <c r="C210" t="s">
        <v>269</v>
      </c>
      <c r="D210" s="391">
        <f t="shared" si="50"/>
        <v>146.55600000000001</v>
      </c>
      <c r="E210" s="390">
        <v>141.05306107697868</v>
      </c>
      <c r="F210" s="400">
        <v>124.30800000000001</v>
      </c>
      <c r="G210" s="400">
        <v>156.708</v>
      </c>
      <c r="H210" s="400">
        <v>146.55600000000001</v>
      </c>
      <c r="I210" s="400">
        <v>146.55600000000001</v>
      </c>
      <c r="J210" s="400">
        <v>146.55600000000001</v>
      </c>
      <c r="K210" s="400">
        <v>146.55600000000001</v>
      </c>
      <c r="L210" s="400">
        <f t="shared" si="51"/>
        <v>143.53200000000001</v>
      </c>
      <c r="M210" s="413">
        <f t="shared" si="52"/>
        <v>143.53200000000001</v>
      </c>
      <c r="N210" s="413">
        <f t="shared" si="53"/>
        <v>143.53200000000001</v>
      </c>
      <c r="O210" s="393">
        <f t="shared" si="54"/>
        <v>132.68053053848934</v>
      </c>
      <c r="P210" s="393">
        <f t="shared" si="55"/>
        <v>140.50800000000001</v>
      </c>
      <c r="Q210" s="393">
        <f t="shared" si="56"/>
        <v>151.63200000000001</v>
      </c>
      <c r="R210" s="393">
        <f t="shared" si="57"/>
        <v>146.55600000000001</v>
      </c>
      <c r="S210" s="393">
        <f t="shared" si="58"/>
        <v>145.80000000000001</v>
      </c>
      <c r="T210" s="393">
        <f t="shared" si="59"/>
        <v>143.53200000000001</v>
      </c>
      <c r="U210" s="413">
        <f t="shared" si="60"/>
        <v>143.53200000000001</v>
      </c>
    </row>
    <row r="211" spans="1:21">
      <c r="A211">
        <v>247</v>
      </c>
      <c r="B211">
        <v>205</v>
      </c>
      <c r="C211" t="s">
        <v>566</v>
      </c>
      <c r="D211" s="391">
        <f t="shared" si="50"/>
        <v>0</v>
      </c>
      <c r="E211" s="390">
        <v>0</v>
      </c>
      <c r="F211" s="400">
        <v>0</v>
      </c>
      <c r="G211" s="400">
        <v>0</v>
      </c>
      <c r="H211" s="400">
        <v>0</v>
      </c>
      <c r="I211" s="400">
        <v>0</v>
      </c>
      <c r="J211" s="400">
        <v>0</v>
      </c>
      <c r="K211" s="400">
        <v>0</v>
      </c>
      <c r="L211" s="400">
        <f t="shared" si="51"/>
        <v>0</v>
      </c>
      <c r="M211" s="413">
        <f t="shared" si="52"/>
        <v>0</v>
      </c>
      <c r="N211" s="413">
        <f t="shared" si="53"/>
        <v>0</v>
      </c>
      <c r="O211" s="393">
        <f t="shared" si="54"/>
        <v>0</v>
      </c>
      <c r="P211" s="393">
        <f t="shared" si="55"/>
        <v>0</v>
      </c>
      <c r="Q211" s="393">
        <f t="shared" si="56"/>
        <v>0</v>
      </c>
      <c r="R211" s="393">
        <f t="shared" si="57"/>
        <v>0</v>
      </c>
      <c r="S211" s="393">
        <f t="shared" si="58"/>
        <v>0</v>
      </c>
      <c r="T211" s="393">
        <f t="shared" si="59"/>
        <v>0</v>
      </c>
      <c r="U211" s="413">
        <f t="shared" si="60"/>
        <v>0</v>
      </c>
    </row>
    <row r="212" spans="1:21">
      <c r="A212">
        <v>218</v>
      </c>
      <c r="B212">
        <v>206</v>
      </c>
      <c r="C212" t="s">
        <v>270</v>
      </c>
      <c r="D212" s="391" t="e">
        <f t="shared" si="50"/>
        <v>#N/A</v>
      </c>
      <c r="E212" s="390">
        <v>180.2777578409129</v>
      </c>
      <c r="F212" s="400" t="e">
        <v>#N/A</v>
      </c>
      <c r="G212" s="400" t="e">
        <v>#N/A</v>
      </c>
      <c r="H212" s="400" t="e">
        <v>#N/A</v>
      </c>
      <c r="I212" s="400" t="e">
        <v>#N/A</v>
      </c>
      <c r="J212" s="400" t="e">
        <v>#N/A</v>
      </c>
      <c r="K212" s="400" t="e">
        <v>#N/A</v>
      </c>
      <c r="L212" s="400" t="e">
        <f t="shared" si="51"/>
        <v>#N/A</v>
      </c>
      <c r="M212" s="413" t="e">
        <f t="shared" si="52"/>
        <v>#N/A</v>
      </c>
      <c r="N212" s="413" t="e">
        <f t="shared" si="53"/>
        <v>#N/A</v>
      </c>
      <c r="O212" s="393" t="e">
        <f t="shared" si="54"/>
        <v>#N/A</v>
      </c>
      <c r="P212" s="393" t="e">
        <f t="shared" si="55"/>
        <v>#N/A</v>
      </c>
      <c r="Q212" s="393" t="e">
        <f t="shared" si="56"/>
        <v>#N/A</v>
      </c>
      <c r="R212" s="393" t="e">
        <f t="shared" si="57"/>
        <v>#N/A</v>
      </c>
      <c r="S212" s="393" t="e">
        <f t="shared" si="58"/>
        <v>#N/A</v>
      </c>
      <c r="T212" s="393" t="e">
        <f t="shared" si="59"/>
        <v>#N/A</v>
      </c>
      <c r="U212" s="413" t="e">
        <f t="shared" si="60"/>
        <v>#N/A</v>
      </c>
    </row>
    <row r="213" spans="1:21">
      <c r="A213">
        <v>40</v>
      </c>
      <c r="B213">
        <v>207</v>
      </c>
      <c r="C213" t="s">
        <v>526</v>
      </c>
      <c r="D213" s="391">
        <f t="shared" si="50"/>
        <v>8.4239999999999995</v>
      </c>
      <c r="E213" s="390">
        <v>3.4604801976434811</v>
      </c>
      <c r="F213" s="400">
        <v>0.75600000000000001</v>
      </c>
      <c r="G213" s="400">
        <v>0</v>
      </c>
      <c r="H213" s="400">
        <v>8.4239999999999995</v>
      </c>
      <c r="I213" s="400">
        <v>8.4239999999999995</v>
      </c>
      <c r="J213" s="400">
        <v>8.4239999999999995</v>
      </c>
      <c r="K213" s="400">
        <v>8.4239999999999995</v>
      </c>
      <c r="L213" s="400">
        <f t="shared" si="51"/>
        <v>4.4009999999999998</v>
      </c>
      <c r="M213" s="413">
        <f t="shared" si="52"/>
        <v>4.4009999999999998</v>
      </c>
      <c r="N213" s="413">
        <f t="shared" si="53"/>
        <v>4.4009999999999998</v>
      </c>
      <c r="O213" s="393">
        <f t="shared" si="54"/>
        <v>2.1082400988217405</v>
      </c>
      <c r="P213" s="393">
        <f t="shared" si="55"/>
        <v>0.378</v>
      </c>
      <c r="Q213" s="393">
        <f t="shared" si="56"/>
        <v>4.2119999999999997</v>
      </c>
      <c r="R213" s="393">
        <f t="shared" si="57"/>
        <v>8.4239999999999995</v>
      </c>
      <c r="S213" s="393">
        <f t="shared" si="58"/>
        <v>7.4182499999999996</v>
      </c>
      <c r="T213" s="393">
        <f t="shared" si="59"/>
        <v>4.4009999999999998</v>
      </c>
      <c r="U213" s="413">
        <f t="shared" si="60"/>
        <v>4.4009999999999998</v>
      </c>
    </row>
    <row r="214" spans="1:21">
      <c r="A214">
        <v>777</v>
      </c>
      <c r="B214">
        <v>208</v>
      </c>
      <c r="C214" t="s">
        <v>198</v>
      </c>
      <c r="D214" s="391">
        <f t="shared" si="50"/>
        <v>46.26</v>
      </c>
      <c r="E214" s="390">
        <v>90.154095333650218</v>
      </c>
      <c r="F214" s="400">
        <v>43.992000000000004</v>
      </c>
      <c r="G214" s="400">
        <v>44.604000000000006</v>
      </c>
      <c r="H214" s="400">
        <v>46.26</v>
      </c>
      <c r="I214" s="400">
        <v>46.26</v>
      </c>
      <c r="J214" s="400">
        <v>46.26</v>
      </c>
      <c r="K214" s="400">
        <v>46.26</v>
      </c>
      <c r="L214" s="400">
        <f t="shared" si="51"/>
        <v>45.278999999999996</v>
      </c>
      <c r="M214" s="413">
        <f t="shared" si="52"/>
        <v>45.278999999999996</v>
      </c>
      <c r="N214" s="413">
        <f t="shared" si="53"/>
        <v>45.278999999999996</v>
      </c>
      <c r="O214" s="393">
        <f t="shared" si="54"/>
        <v>67.073047666825119</v>
      </c>
      <c r="P214" s="393">
        <f t="shared" si="55"/>
        <v>44.298000000000002</v>
      </c>
      <c r="Q214" s="393">
        <f t="shared" si="56"/>
        <v>45.432000000000002</v>
      </c>
      <c r="R214" s="393">
        <f t="shared" si="57"/>
        <v>46.26</v>
      </c>
      <c r="S214" s="393">
        <f t="shared" si="58"/>
        <v>46.014749999999999</v>
      </c>
      <c r="T214" s="393">
        <f t="shared" si="59"/>
        <v>45.278999999999996</v>
      </c>
      <c r="U214" s="413">
        <f t="shared" si="60"/>
        <v>45.278999999999996</v>
      </c>
    </row>
    <row r="215" spans="1:21">
      <c r="A215">
        <v>50</v>
      </c>
      <c r="B215">
        <v>209</v>
      </c>
      <c r="C215" t="s">
        <v>271</v>
      </c>
      <c r="D215" s="391">
        <f t="shared" si="50"/>
        <v>105.66000000000001</v>
      </c>
      <c r="E215" s="390">
        <v>110.25120988169257</v>
      </c>
      <c r="F215" s="400">
        <v>122.03999999999999</v>
      </c>
      <c r="G215" s="400">
        <v>111.78</v>
      </c>
      <c r="H215" s="400">
        <v>105.66000000000001</v>
      </c>
      <c r="I215" s="400">
        <v>105.66000000000001</v>
      </c>
      <c r="J215" s="400">
        <v>105.66000000000001</v>
      </c>
      <c r="K215" s="400">
        <v>105.66000000000001</v>
      </c>
      <c r="L215" s="400">
        <f t="shared" si="51"/>
        <v>111.28500000000001</v>
      </c>
      <c r="M215" s="413">
        <f t="shared" si="52"/>
        <v>111.28500000000001</v>
      </c>
      <c r="N215" s="413">
        <f t="shared" si="53"/>
        <v>111.28500000000001</v>
      </c>
      <c r="O215" s="393">
        <f t="shared" si="54"/>
        <v>116.14560494084628</v>
      </c>
      <c r="P215" s="393">
        <f t="shared" si="55"/>
        <v>116.91</v>
      </c>
      <c r="Q215" s="393">
        <f t="shared" si="56"/>
        <v>108.72</v>
      </c>
      <c r="R215" s="393">
        <f t="shared" si="57"/>
        <v>105.66000000000001</v>
      </c>
      <c r="S215" s="393">
        <f t="shared" si="58"/>
        <v>107.06625000000001</v>
      </c>
      <c r="T215" s="393">
        <f t="shared" si="59"/>
        <v>111.28500000000001</v>
      </c>
      <c r="U215" s="413">
        <f t="shared" si="60"/>
        <v>111.28500000000001</v>
      </c>
    </row>
    <row r="216" spans="1:21">
      <c r="A216">
        <v>405</v>
      </c>
      <c r="B216">
        <v>210</v>
      </c>
      <c r="C216" t="s">
        <v>272</v>
      </c>
      <c r="D216" s="391">
        <f t="shared" si="50"/>
        <v>152.244</v>
      </c>
      <c r="E216" s="390">
        <v>235.92389623704682</v>
      </c>
      <c r="F216" s="400">
        <v>136.512</v>
      </c>
      <c r="G216" s="400">
        <v>149.94</v>
      </c>
      <c r="H216" s="400">
        <v>152.244</v>
      </c>
      <c r="I216" s="400">
        <v>152.244</v>
      </c>
      <c r="J216" s="400">
        <v>152.244</v>
      </c>
      <c r="K216" s="400">
        <v>152.244</v>
      </c>
      <c r="L216" s="400">
        <f t="shared" si="51"/>
        <v>147.73500000000001</v>
      </c>
      <c r="M216" s="413">
        <f t="shared" si="52"/>
        <v>147.73500000000001</v>
      </c>
      <c r="N216" s="413">
        <f t="shared" si="53"/>
        <v>147.73500000000001</v>
      </c>
      <c r="O216" s="393">
        <f t="shared" si="54"/>
        <v>186.2179481185234</v>
      </c>
      <c r="P216" s="393">
        <f t="shared" si="55"/>
        <v>143.226</v>
      </c>
      <c r="Q216" s="393">
        <f t="shared" si="56"/>
        <v>151.09199999999998</v>
      </c>
      <c r="R216" s="393">
        <f t="shared" si="57"/>
        <v>152.244</v>
      </c>
      <c r="S216" s="393">
        <f t="shared" si="58"/>
        <v>151.11675</v>
      </c>
      <c r="T216" s="393">
        <f t="shared" si="59"/>
        <v>147.73500000000001</v>
      </c>
      <c r="U216" s="413">
        <f t="shared" si="60"/>
        <v>147.73500000000001</v>
      </c>
    </row>
    <row r="217" spans="1:21">
      <c r="A217">
        <v>67</v>
      </c>
      <c r="B217">
        <v>211</v>
      </c>
      <c r="C217" t="s">
        <v>273</v>
      </c>
      <c r="D217" s="391">
        <f t="shared" si="50"/>
        <v>73.367999999999995</v>
      </c>
      <c r="E217" s="390">
        <v>129.09766272580075</v>
      </c>
      <c r="F217" s="400">
        <v>97.812000000000012</v>
      </c>
      <c r="G217" s="400">
        <v>76.103999999999999</v>
      </c>
      <c r="H217" s="400">
        <v>73.367999999999995</v>
      </c>
      <c r="I217" s="400">
        <v>73.367999999999995</v>
      </c>
      <c r="J217" s="400">
        <v>73.367999999999995</v>
      </c>
      <c r="K217" s="400">
        <v>73.367999999999995</v>
      </c>
      <c r="L217" s="400">
        <f t="shared" si="51"/>
        <v>80.162999999999997</v>
      </c>
      <c r="M217" s="413">
        <f t="shared" si="52"/>
        <v>80.162999999999997</v>
      </c>
      <c r="N217" s="413">
        <f t="shared" si="53"/>
        <v>80.162999999999997</v>
      </c>
      <c r="O217" s="393">
        <f t="shared" si="54"/>
        <v>113.45483136290038</v>
      </c>
      <c r="P217" s="393">
        <f t="shared" si="55"/>
        <v>86.957999999999998</v>
      </c>
      <c r="Q217" s="393">
        <f t="shared" si="56"/>
        <v>74.73599999999999</v>
      </c>
      <c r="R217" s="393">
        <f t="shared" si="57"/>
        <v>73.367999999999995</v>
      </c>
      <c r="S217" s="393">
        <f t="shared" si="58"/>
        <v>75.066749999999999</v>
      </c>
      <c r="T217" s="393">
        <f t="shared" si="59"/>
        <v>80.162999999999997</v>
      </c>
      <c r="U217" s="413">
        <f t="shared" si="60"/>
        <v>80.162999999999997</v>
      </c>
    </row>
    <row r="218" spans="1:21">
      <c r="A218">
        <v>306</v>
      </c>
      <c r="B218">
        <v>212</v>
      </c>
      <c r="C218" t="s">
        <v>100</v>
      </c>
      <c r="D218" s="391">
        <f t="shared" si="50"/>
        <v>85.032000000000011</v>
      </c>
      <c r="E218" s="390">
        <v>141.8663468564045</v>
      </c>
      <c r="F218" s="400">
        <v>132.94800000000001</v>
      </c>
      <c r="G218" s="400">
        <v>109.69199999999999</v>
      </c>
      <c r="H218" s="400">
        <v>85.032000000000011</v>
      </c>
      <c r="I218" s="400">
        <v>85.032000000000011</v>
      </c>
      <c r="J218" s="400">
        <v>85.032000000000011</v>
      </c>
      <c r="K218" s="400">
        <v>85.032000000000011</v>
      </c>
      <c r="L218" s="400">
        <f t="shared" si="51"/>
        <v>103.17600000000002</v>
      </c>
      <c r="M218" s="413">
        <f t="shared" si="52"/>
        <v>103.17600000000002</v>
      </c>
      <c r="N218" s="413">
        <f t="shared" si="53"/>
        <v>103.17600000000002</v>
      </c>
      <c r="O218" s="393">
        <f t="shared" si="54"/>
        <v>137.40717342820227</v>
      </c>
      <c r="P218" s="393">
        <f t="shared" si="55"/>
        <v>121.32</v>
      </c>
      <c r="Q218" s="393">
        <f t="shared" si="56"/>
        <v>97.361999999999995</v>
      </c>
      <c r="R218" s="393">
        <f t="shared" si="57"/>
        <v>85.032000000000011</v>
      </c>
      <c r="S218" s="393">
        <f t="shared" si="58"/>
        <v>89.568000000000012</v>
      </c>
      <c r="T218" s="393">
        <f t="shared" si="59"/>
        <v>103.17600000000002</v>
      </c>
      <c r="U218" s="413">
        <f t="shared" si="60"/>
        <v>103.17600000000002</v>
      </c>
    </row>
    <row r="219" spans="1:21">
      <c r="A219" t="e">
        <v>#N/A</v>
      </c>
      <c r="B219">
        <v>213</v>
      </c>
      <c r="C219" t="s">
        <v>274</v>
      </c>
      <c r="D219" s="391">
        <f t="shared" si="50"/>
        <v>0</v>
      </c>
      <c r="E219" s="390">
        <v>0</v>
      </c>
      <c r="F219" s="400">
        <v>0</v>
      </c>
      <c r="G219" s="400">
        <v>0</v>
      </c>
      <c r="H219" s="400">
        <v>0</v>
      </c>
      <c r="I219" s="400">
        <v>0</v>
      </c>
      <c r="J219" s="400">
        <v>0</v>
      </c>
      <c r="K219" s="400">
        <v>0</v>
      </c>
      <c r="L219" s="400">
        <f t="shared" si="51"/>
        <v>0</v>
      </c>
      <c r="M219" s="413">
        <f t="shared" si="52"/>
        <v>0</v>
      </c>
      <c r="N219" s="413">
        <f t="shared" si="53"/>
        <v>0</v>
      </c>
      <c r="O219" s="393">
        <f t="shared" si="54"/>
        <v>0</v>
      </c>
      <c r="P219" s="393">
        <f t="shared" si="55"/>
        <v>0</v>
      </c>
      <c r="Q219" s="393">
        <f t="shared" si="56"/>
        <v>0</v>
      </c>
      <c r="R219" s="393">
        <f t="shared" si="57"/>
        <v>0</v>
      </c>
      <c r="S219" s="393">
        <f t="shared" si="58"/>
        <v>0</v>
      </c>
      <c r="T219" s="393">
        <f t="shared" si="59"/>
        <v>0</v>
      </c>
      <c r="U219" s="413">
        <f t="shared" si="60"/>
        <v>0</v>
      </c>
    </row>
    <row r="220" spans="1:21">
      <c r="A220">
        <v>105</v>
      </c>
      <c r="B220">
        <v>214</v>
      </c>
      <c r="C220" t="s">
        <v>275</v>
      </c>
      <c r="D220" s="391">
        <f t="shared" si="50"/>
        <v>85.860000000000014</v>
      </c>
      <c r="E220" s="390">
        <v>66.244173489253726</v>
      </c>
      <c r="F220" s="400">
        <v>75.78</v>
      </c>
      <c r="G220" s="400">
        <v>77.867999999999995</v>
      </c>
      <c r="H220" s="400">
        <v>85.860000000000014</v>
      </c>
      <c r="I220" s="400">
        <v>85.860000000000014</v>
      </c>
      <c r="J220" s="400">
        <v>85.860000000000014</v>
      </c>
      <c r="K220" s="400">
        <v>85.860000000000014</v>
      </c>
      <c r="L220" s="400">
        <f t="shared" si="51"/>
        <v>81.342000000000013</v>
      </c>
      <c r="M220" s="413">
        <f t="shared" si="52"/>
        <v>81.342000000000013</v>
      </c>
      <c r="N220" s="413">
        <f t="shared" si="53"/>
        <v>81.342000000000013</v>
      </c>
      <c r="O220" s="393">
        <f t="shared" si="54"/>
        <v>71.012086744626856</v>
      </c>
      <c r="P220" s="393">
        <f t="shared" si="55"/>
        <v>76.823999999999998</v>
      </c>
      <c r="Q220" s="393">
        <f t="shared" si="56"/>
        <v>81.864000000000004</v>
      </c>
      <c r="R220" s="393">
        <f t="shared" si="57"/>
        <v>85.860000000000014</v>
      </c>
      <c r="S220" s="393">
        <f t="shared" si="58"/>
        <v>84.730500000000006</v>
      </c>
      <c r="T220" s="393">
        <f t="shared" si="59"/>
        <v>81.342000000000013</v>
      </c>
      <c r="U220" s="413">
        <f t="shared" si="60"/>
        <v>81.342000000000013</v>
      </c>
    </row>
    <row r="221" spans="1:21">
      <c r="A221">
        <v>446</v>
      </c>
      <c r="B221">
        <v>215</v>
      </c>
      <c r="C221" t="s">
        <v>276</v>
      </c>
      <c r="D221" s="391">
        <f t="shared" si="50"/>
        <v>101.232</v>
      </c>
      <c r="E221" s="390">
        <v>95.039739792874187</v>
      </c>
      <c r="F221" s="400">
        <v>100.51200000000001</v>
      </c>
      <c r="G221" s="400">
        <v>109.83600000000001</v>
      </c>
      <c r="H221" s="400">
        <v>101.232</v>
      </c>
      <c r="I221" s="400">
        <v>101.232</v>
      </c>
      <c r="J221" s="400">
        <v>101.232</v>
      </c>
      <c r="K221" s="400">
        <v>101.232</v>
      </c>
      <c r="L221" s="400">
        <f t="shared" si="51"/>
        <v>103.203</v>
      </c>
      <c r="M221" s="413">
        <f t="shared" si="52"/>
        <v>103.203</v>
      </c>
      <c r="N221" s="413">
        <f t="shared" si="53"/>
        <v>103.203</v>
      </c>
      <c r="O221" s="393">
        <f t="shared" si="54"/>
        <v>97.775869896437101</v>
      </c>
      <c r="P221" s="393">
        <f t="shared" si="55"/>
        <v>105.17400000000001</v>
      </c>
      <c r="Q221" s="393">
        <f t="shared" si="56"/>
        <v>105.53400000000001</v>
      </c>
      <c r="R221" s="393">
        <f t="shared" si="57"/>
        <v>101.232</v>
      </c>
      <c r="S221" s="393">
        <f t="shared" si="58"/>
        <v>101.72475</v>
      </c>
      <c r="T221" s="393">
        <f t="shared" si="59"/>
        <v>103.203</v>
      </c>
      <c r="U221" s="413">
        <f t="shared" si="60"/>
        <v>103.203</v>
      </c>
    </row>
    <row r="222" spans="1:21">
      <c r="A222">
        <v>17</v>
      </c>
      <c r="B222">
        <v>216</v>
      </c>
      <c r="C222" t="s">
        <v>277</v>
      </c>
      <c r="D222" s="391">
        <f t="shared" si="50"/>
        <v>47.231999999999999</v>
      </c>
      <c r="E222" s="390">
        <v>154.44725794593288</v>
      </c>
      <c r="F222" s="400">
        <v>121.5</v>
      </c>
      <c r="G222" s="400">
        <v>73.00800000000001</v>
      </c>
      <c r="H222" s="400">
        <v>47.231999999999999</v>
      </c>
      <c r="I222" s="400">
        <v>47.231999999999999</v>
      </c>
      <c r="J222" s="400">
        <v>47.231999999999999</v>
      </c>
      <c r="K222" s="400">
        <v>47.231999999999999</v>
      </c>
      <c r="L222" s="400">
        <f t="shared" si="51"/>
        <v>72.242999999999995</v>
      </c>
      <c r="M222" s="413">
        <f t="shared" si="52"/>
        <v>72.242999999999995</v>
      </c>
      <c r="N222" s="413">
        <f t="shared" si="53"/>
        <v>72.242999999999995</v>
      </c>
      <c r="O222" s="393">
        <f t="shared" si="54"/>
        <v>137.97362897296642</v>
      </c>
      <c r="P222" s="393">
        <f t="shared" si="55"/>
        <v>97.254000000000005</v>
      </c>
      <c r="Q222" s="393">
        <f t="shared" si="56"/>
        <v>60.120000000000005</v>
      </c>
      <c r="R222" s="393">
        <f t="shared" si="57"/>
        <v>47.231999999999999</v>
      </c>
      <c r="S222" s="393">
        <f t="shared" si="58"/>
        <v>53.484749999999998</v>
      </c>
      <c r="T222" s="393">
        <f t="shared" si="59"/>
        <v>72.242999999999995</v>
      </c>
      <c r="U222" s="413">
        <f t="shared" si="60"/>
        <v>72.242999999999995</v>
      </c>
    </row>
    <row r="223" spans="1:21">
      <c r="A223">
        <v>82</v>
      </c>
      <c r="B223">
        <v>217</v>
      </c>
      <c r="C223" t="s">
        <v>278</v>
      </c>
      <c r="D223" s="391">
        <f t="shared" si="50"/>
        <v>0</v>
      </c>
      <c r="E223" s="390">
        <v>0</v>
      </c>
      <c r="F223" s="400">
        <v>0</v>
      </c>
      <c r="G223" s="400">
        <v>0</v>
      </c>
      <c r="H223" s="400">
        <v>0</v>
      </c>
      <c r="I223" s="400">
        <v>0</v>
      </c>
      <c r="J223" s="400">
        <v>0</v>
      </c>
      <c r="K223" s="400">
        <v>0</v>
      </c>
      <c r="L223" s="400">
        <f t="shared" si="51"/>
        <v>0</v>
      </c>
      <c r="M223" s="413">
        <f t="shared" si="52"/>
        <v>0</v>
      </c>
      <c r="N223" s="413">
        <f t="shared" si="53"/>
        <v>0</v>
      </c>
      <c r="O223" s="393">
        <f t="shared" si="54"/>
        <v>0</v>
      </c>
      <c r="P223" s="393">
        <f t="shared" si="55"/>
        <v>0</v>
      </c>
      <c r="Q223" s="393">
        <f t="shared" si="56"/>
        <v>0</v>
      </c>
      <c r="R223" s="393">
        <f t="shared" si="57"/>
        <v>0</v>
      </c>
      <c r="S223" s="393">
        <f t="shared" si="58"/>
        <v>0</v>
      </c>
      <c r="T223" s="393">
        <f t="shared" si="59"/>
        <v>0</v>
      </c>
      <c r="U223" s="413">
        <f t="shared" si="60"/>
        <v>0</v>
      </c>
    </row>
    <row r="224" spans="1:21">
      <c r="A224">
        <v>51</v>
      </c>
      <c r="B224">
        <v>218</v>
      </c>
      <c r="C224" t="s">
        <v>527</v>
      </c>
      <c r="D224" s="391">
        <f t="shared" si="50"/>
        <v>95.543999999999997</v>
      </c>
      <c r="E224" s="390">
        <v>152.80272985011317</v>
      </c>
      <c r="F224" s="400">
        <v>130.428</v>
      </c>
      <c r="G224" s="400">
        <v>137.952</v>
      </c>
      <c r="H224" s="400">
        <v>95.543999999999997</v>
      </c>
      <c r="I224" s="400">
        <v>95.543999999999997</v>
      </c>
      <c r="J224" s="400">
        <v>95.543999999999997</v>
      </c>
      <c r="K224" s="400">
        <v>95.543999999999997</v>
      </c>
      <c r="L224" s="400">
        <f t="shared" si="51"/>
        <v>114.86699999999999</v>
      </c>
      <c r="M224" s="413">
        <f t="shared" si="52"/>
        <v>114.86699999999999</v>
      </c>
      <c r="N224" s="413">
        <f t="shared" si="53"/>
        <v>114.86699999999999</v>
      </c>
      <c r="O224" s="393">
        <f t="shared" si="54"/>
        <v>141.61536492505658</v>
      </c>
      <c r="P224" s="393">
        <f t="shared" si="55"/>
        <v>134.19</v>
      </c>
      <c r="Q224" s="393">
        <f t="shared" si="56"/>
        <v>116.74799999999999</v>
      </c>
      <c r="R224" s="393">
        <f t="shared" si="57"/>
        <v>95.543999999999997</v>
      </c>
      <c r="S224" s="393">
        <f t="shared" si="58"/>
        <v>100.37475000000001</v>
      </c>
      <c r="T224" s="393">
        <f t="shared" si="59"/>
        <v>114.86699999999999</v>
      </c>
      <c r="U224" s="413">
        <f t="shared" si="60"/>
        <v>114.86699999999999</v>
      </c>
    </row>
    <row r="225" spans="1:21">
      <c r="A225">
        <v>245</v>
      </c>
      <c r="B225">
        <v>219</v>
      </c>
      <c r="C225" t="s">
        <v>528</v>
      </c>
      <c r="D225" s="391">
        <f t="shared" si="50"/>
        <v>0</v>
      </c>
      <c r="E225" s="390">
        <v>0</v>
      </c>
      <c r="F225" s="400">
        <v>0</v>
      </c>
      <c r="G225" s="400">
        <v>0</v>
      </c>
      <c r="H225" s="400">
        <v>0</v>
      </c>
      <c r="I225" s="400">
        <v>0</v>
      </c>
      <c r="J225" s="400">
        <v>0</v>
      </c>
      <c r="K225" s="400">
        <v>0</v>
      </c>
      <c r="L225" s="400">
        <f t="shared" si="51"/>
        <v>0</v>
      </c>
      <c r="M225" s="413">
        <f t="shared" si="52"/>
        <v>0</v>
      </c>
      <c r="N225" s="413">
        <f t="shared" si="53"/>
        <v>0</v>
      </c>
      <c r="O225" s="393">
        <f t="shared" si="54"/>
        <v>0</v>
      </c>
      <c r="P225" s="393">
        <f t="shared" si="55"/>
        <v>0</v>
      </c>
      <c r="Q225" s="393">
        <f t="shared" si="56"/>
        <v>0</v>
      </c>
      <c r="R225" s="393">
        <f t="shared" si="57"/>
        <v>0</v>
      </c>
      <c r="S225" s="393">
        <f t="shared" si="58"/>
        <v>0</v>
      </c>
      <c r="T225" s="393">
        <f t="shared" si="59"/>
        <v>0</v>
      </c>
      <c r="U225" s="413">
        <f t="shared" si="60"/>
        <v>0</v>
      </c>
    </row>
    <row r="226" spans="1:21">
      <c r="A226">
        <v>33</v>
      </c>
      <c r="B226">
        <v>220</v>
      </c>
      <c r="C226" t="s">
        <v>279</v>
      </c>
      <c r="D226" s="391">
        <f t="shared" si="50"/>
        <v>31.571999999999999</v>
      </c>
      <c r="E226" s="390">
        <v>18.621419178082192</v>
      </c>
      <c r="F226" s="400">
        <v>32.364000000000004</v>
      </c>
      <c r="G226" s="400">
        <v>43.344000000000001</v>
      </c>
      <c r="H226" s="400">
        <v>31.571999999999999</v>
      </c>
      <c r="I226" s="400">
        <v>31.571999999999999</v>
      </c>
      <c r="J226" s="400">
        <v>31.571999999999999</v>
      </c>
      <c r="K226" s="400">
        <v>31.571999999999999</v>
      </c>
      <c r="L226" s="400">
        <f t="shared" si="51"/>
        <v>34.713000000000001</v>
      </c>
      <c r="M226" s="413">
        <f t="shared" si="52"/>
        <v>34.713000000000001</v>
      </c>
      <c r="N226" s="413">
        <f t="shared" si="53"/>
        <v>34.713000000000001</v>
      </c>
      <c r="O226" s="393">
        <f t="shared" si="54"/>
        <v>25.492709589041098</v>
      </c>
      <c r="P226" s="393">
        <f t="shared" si="55"/>
        <v>37.853999999999999</v>
      </c>
      <c r="Q226" s="393">
        <f t="shared" si="56"/>
        <v>37.457999999999998</v>
      </c>
      <c r="R226" s="393">
        <f t="shared" si="57"/>
        <v>31.571999999999999</v>
      </c>
      <c r="S226" s="393">
        <f t="shared" si="58"/>
        <v>32.357250000000001</v>
      </c>
      <c r="T226" s="393">
        <f t="shared" si="59"/>
        <v>34.713000000000001</v>
      </c>
      <c r="U226" s="413">
        <f t="shared" si="60"/>
        <v>34.713000000000001</v>
      </c>
    </row>
    <row r="227" spans="1:21">
      <c r="A227">
        <v>53</v>
      </c>
      <c r="B227">
        <v>221</v>
      </c>
      <c r="C227" t="s">
        <v>280</v>
      </c>
      <c r="D227" s="391">
        <f t="shared" si="50"/>
        <v>68.832000000000008</v>
      </c>
      <c r="E227" s="390">
        <v>184.31758533264755</v>
      </c>
      <c r="F227" s="400">
        <v>120.348</v>
      </c>
      <c r="G227" s="400">
        <v>32.112000000000002</v>
      </c>
      <c r="H227" s="400">
        <v>68.832000000000008</v>
      </c>
      <c r="I227" s="400">
        <v>68.832000000000008</v>
      </c>
      <c r="J227" s="400">
        <v>68.832000000000008</v>
      </c>
      <c r="K227" s="400">
        <v>68.832000000000008</v>
      </c>
      <c r="L227" s="400">
        <f t="shared" si="51"/>
        <v>72.531000000000006</v>
      </c>
      <c r="M227" s="413">
        <f t="shared" si="52"/>
        <v>72.531000000000006</v>
      </c>
      <c r="N227" s="413">
        <f t="shared" si="53"/>
        <v>72.531000000000006</v>
      </c>
      <c r="O227" s="393">
        <f t="shared" si="54"/>
        <v>152.33279266632377</v>
      </c>
      <c r="P227" s="393">
        <f t="shared" si="55"/>
        <v>76.23</v>
      </c>
      <c r="Q227" s="393">
        <f t="shared" si="56"/>
        <v>50.472000000000008</v>
      </c>
      <c r="R227" s="393">
        <f t="shared" si="57"/>
        <v>68.832000000000008</v>
      </c>
      <c r="S227" s="393">
        <f t="shared" si="58"/>
        <v>69.756750000000011</v>
      </c>
      <c r="T227" s="393">
        <f t="shared" si="59"/>
        <v>72.531000000000006</v>
      </c>
      <c r="U227" s="413">
        <f t="shared" si="60"/>
        <v>72.531000000000006</v>
      </c>
    </row>
    <row r="228" spans="1:21">
      <c r="A228">
        <v>54</v>
      </c>
      <c r="B228">
        <v>222</v>
      </c>
      <c r="C228" t="s">
        <v>101</v>
      </c>
      <c r="D228" s="391">
        <f t="shared" si="50"/>
        <v>0.216</v>
      </c>
      <c r="E228" s="390">
        <v>0</v>
      </c>
      <c r="F228" s="400">
        <v>0</v>
      </c>
      <c r="G228" s="400">
        <v>0</v>
      </c>
      <c r="H228" s="400">
        <v>0.216</v>
      </c>
      <c r="I228" s="400">
        <v>0.216</v>
      </c>
      <c r="J228" s="400">
        <v>0.216</v>
      </c>
      <c r="K228" s="400">
        <v>0.216</v>
      </c>
      <c r="L228" s="400">
        <f t="shared" si="51"/>
        <v>0.108</v>
      </c>
      <c r="M228" s="413">
        <f t="shared" si="52"/>
        <v>0.108</v>
      </c>
      <c r="N228" s="413">
        <f t="shared" si="53"/>
        <v>0.108</v>
      </c>
      <c r="O228" s="393">
        <f t="shared" si="54"/>
        <v>0</v>
      </c>
      <c r="P228" s="393">
        <f t="shared" si="55"/>
        <v>0</v>
      </c>
      <c r="Q228" s="393">
        <f t="shared" si="56"/>
        <v>0.108</v>
      </c>
      <c r="R228" s="393">
        <f t="shared" si="57"/>
        <v>0.216</v>
      </c>
      <c r="S228" s="393">
        <f t="shared" si="58"/>
        <v>0.189</v>
      </c>
      <c r="T228" s="393">
        <f t="shared" si="59"/>
        <v>0.108</v>
      </c>
      <c r="U228" s="413">
        <f t="shared" si="60"/>
        <v>0.108</v>
      </c>
    </row>
    <row r="229" spans="1:21">
      <c r="A229">
        <v>55</v>
      </c>
      <c r="B229">
        <v>223</v>
      </c>
      <c r="C229" t="s">
        <v>281</v>
      </c>
      <c r="D229" s="391">
        <f t="shared" si="50"/>
        <v>0</v>
      </c>
      <c r="E229" s="390">
        <v>231.6471709090909</v>
      </c>
      <c r="F229" s="400">
        <v>227.12400000000002</v>
      </c>
      <c r="G229" s="400">
        <v>0</v>
      </c>
      <c r="H229" s="400">
        <v>0</v>
      </c>
      <c r="I229" s="400">
        <v>0</v>
      </c>
      <c r="J229" s="400">
        <v>0</v>
      </c>
      <c r="K229" s="400">
        <v>0</v>
      </c>
      <c r="L229" s="400">
        <f t="shared" si="51"/>
        <v>56.781000000000006</v>
      </c>
      <c r="M229" s="413">
        <f t="shared" si="52"/>
        <v>56.781000000000006</v>
      </c>
      <c r="N229" s="413">
        <f t="shared" si="53"/>
        <v>56.781000000000006</v>
      </c>
      <c r="O229" s="393">
        <f t="shared" si="54"/>
        <v>229.38558545454546</v>
      </c>
      <c r="P229" s="393">
        <f t="shared" si="55"/>
        <v>113.56200000000001</v>
      </c>
      <c r="Q229" s="393">
        <f t="shared" si="56"/>
        <v>0</v>
      </c>
      <c r="R229" s="393">
        <f t="shared" si="57"/>
        <v>0</v>
      </c>
      <c r="S229" s="393">
        <f t="shared" si="58"/>
        <v>14.195250000000001</v>
      </c>
      <c r="T229" s="393">
        <f t="shared" si="59"/>
        <v>56.781000000000006</v>
      </c>
      <c r="U229" s="413">
        <f t="shared" si="60"/>
        <v>56.781000000000006</v>
      </c>
    </row>
    <row r="230" spans="1:21">
      <c r="A230">
        <v>152</v>
      </c>
      <c r="B230">
        <v>224</v>
      </c>
      <c r="C230" t="s">
        <v>282</v>
      </c>
      <c r="D230" s="391">
        <f t="shared" si="50"/>
        <v>99.647999999999996</v>
      </c>
      <c r="E230" s="390">
        <v>113.86429953942022</v>
      </c>
      <c r="F230" s="400">
        <v>110.44800000000001</v>
      </c>
      <c r="G230" s="400">
        <v>112.71599999999999</v>
      </c>
      <c r="H230" s="400">
        <v>99.647999999999996</v>
      </c>
      <c r="I230" s="400">
        <v>99.647999999999996</v>
      </c>
      <c r="J230" s="400">
        <v>99.647999999999996</v>
      </c>
      <c r="K230" s="400">
        <v>99.647999999999996</v>
      </c>
      <c r="L230" s="400">
        <f t="shared" si="51"/>
        <v>105.61500000000001</v>
      </c>
      <c r="M230" s="413">
        <f t="shared" si="52"/>
        <v>105.61500000000001</v>
      </c>
      <c r="N230" s="413">
        <f t="shared" si="53"/>
        <v>105.61500000000001</v>
      </c>
      <c r="O230" s="393">
        <f t="shared" si="54"/>
        <v>112.15614976971011</v>
      </c>
      <c r="P230" s="393">
        <f t="shared" si="55"/>
        <v>111.58199999999999</v>
      </c>
      <c r="Q230" s="393">
        <f t="shared" si="56"/>
        <v>106.18199999999999</v>
      </c>
      <c r="R230" s="393">
        <f t="shared" si="57"/>
        <v>99.647999999999996</v>
      </c>
      <c r="S230" s="393">
        <f t="shared" si="58"/>
        <v>101.13974999999999</v>
      </c>
      <c r="T230" s="393">
        <f t="shared" si="59"/>
        <v>105.61500000000001</v>
      </c>
      <c r="U230" s="413">
        <f t="shared" si="60"/>
        <v>105.61500000000001</v>
      </c>
    </row>
    <row r="231" spans="1:21">
      <c r="A231">
        <v>120</v>
      </c>
      <c r="B231">
        <v>225</v>
      </c>
      <c r="C231" t="s">
        <v>283</v>
      </c>
      <c r="D231" s="391">
        <f t="shared" si="50"/>
        <v>0</v>
      </c>
      <c r="E231" s="390">
        <v>0.35179039242219218</v>
      </c>
      <c r="F231" s="400">
        <v>1.26</v>
      </c>
      <c r="G231" s="400">
        <v>8.0640000000000018</v>
      </c>
      <c r="H231" s="400">
        <v>0</v>
      </c>
      <c r="I231" s="400">
        <v>0</v>
      </c>
      <c r="J231" s="400">
        <v>0</v>
      </c>
      <c r="K231" s="400">
        <v>0</v>
      </c>
      <c r="L231" s="400">
        <f t="shared" si="51"/>
        <v>2.3310000000000004</v>
      </c>
      <c r="M231" s="413">
        <f t="shared" si="52"/>
        <v>2.3310000000000004</v>
      </c>
      <c r="N231" s="413">
        <f t="shared" si="53"/>
        <v>2.3310000000000004</v>
      </c>
      <c r="O231" s="393">
        <f t="shared" si="54"/>
        <v>0.80589519621109607</v>
      </c>
      <c r="P231" s="393">
        <f t="shared" si="55"/>
        <v>4.6620000000000008</v>
      </c>
      <c r="Q231" s="393">
        <f t="shared" si="56"/>
        <v>4.0320000000000009</v>
      </c>
      <c r="R231" s="393">
        <f t="shared" si="57"/>
        <v>0</v>
      </c>
      <c r="S231" s="393">
        <f t="shared" si="58"/>
        <v>0.5827500000000001</v>
      </c>
      <c r="T231" s="393">
        <f t="shared" si="59"/>
        <v>2.3310000000000004</v>
      </c>
      <c r="U231" s="413">
        <f t="shared" si="60"/>
        <v>2.3310000000000004</v>
      </c>
    </row>
    <row r="232" spans="1:21">
      <c r="A232">
        <v>79</v>
      </c>
      <c r="B232">
        <v>226</v>
      </c>
      <c r="C232" t="s">
        <v>284</v>
      </c>
      <c r="D232" s="391">
        <f t="shared" si="50"/>
        <v>38.304000000000002</v>
      </c>
      <c r="E232" s="390">
        <v>189.42496575032146</v>
      </c>
      <c r="F232" s="400">
        <v>107.82</v>
      </c>
      <c r="G232" s="400">
        <v>44.1</v>
      </c>
      <c r="H232" s="400">
        <v>38.304000000000002</v>
      </c>
      <c r="I232" s="400">
        <v>38.304000000000002</v>
      </c>
      <c r="J232" s="400">
        <v>38.304000000000002</v>
      </c>
      <c r="K232" s="400">
        <v>38.304000000000002</v>
      </c>
      <c r="L232" s="400">
        <f t="shared" si="51"/>
        <v>57.131999999999998</v>
      </c>
      <c r="M232" s="413">
        <f t="shared" si="52"/>
        <v>57.131999999999998</v>
      </c>
      <c r="N232" s="413">
        <f t="shared" si="53"/>
        <v>57.131999999999998</v>
      </c>
      <c r="O232" s="393">
        <f t="shared" si="54"/>
        <v>148.62248287516073</v>
      </c>
      <c r="P232" s="393">
        <f t="shared" si="55"/>
        <v>75.959999999999994</v>
      </c>
      <c r="Q232" s="393">
        <f t="shared" si="56"/>
        <v>41.201999999999998</v>
      </c>
      <c r="R232" s="393">
        <f t="shared" si="57"/>
        <v>38.304000000000002</v>
      </c>
      <c r="S232" s="393">
        <f t="shared" si="58"/>
        <v>43.011000000000003</v>
      </c>
      <c r="T232" s="393">
        <f t="shared" si="59"/>
        <v>57.131999999999998</v>
      </c>
      <c r="U232" s="413">
        <f t="shared" si="60"/>
        <v>57.131999999999998</v>
      </c>
    </row>
    <row r="233" spans="1:21">
      <c r="A233">
        <v>122</v>
      </c>
      <c r="B233">
        <v>227</v>
      </c>
      <c r="C233" t="s">
        <v>285</v>
      </c>
      <c r="D233" s="391">
        <f t="shared" si="50"/>
        <v>3.3120000000000003</v>
      </c>
      <c r="E233" s="390">
        <v>2.0820281031257308</v>
      </c>
      <c r="F233" s="400">
        <v>4.3559999999999999</v>
      </c>
      <c r="G233" s="400">
        <v>3.7440000000000002</v>
      </c>
      <c r="H233" s="400">
        <v>3.3120000000000003</v>
      </c>
      <c r="I233" s="400">
        <v>3.3120000000000003</v>
      </c>
      <c r="J233" s="400">
        <v>3.3120000000000003</v>
      </c>
      <c r="K233" s="400">
        <v>3.3120000000000003</v>
      </c>
      <c r="L233" s="400">
        <f t="shared" si="51"/>
        <v>3.681</v>
      </c>
      <c r="M233" s="413">
        <f t="shared" si="52"/>
        <v>3.681</v>
      </c>
      <c r="N233" s="413">
        <f t="shared" si="53"/>
        <v>3.681</v>
      </c>
      <c r="O233" s="393">
        <f t="shared" si="54"/>
        <v>3.2190140515628656</v>
      </c>
      <c r="P233" s="393">
        <f t="shared" si="55"/>
        <v>4.05</v>
      </c>
      <c r="Q233" s="393">
        <f t="shared" si="56"/>
        <v>3.5280000000000005</v>
      </c>
      <c r="R233" s="393">
        <f t="shared" si="57"/>
        <v>3.3120000000000003</v>
      </c>
      <c r="S233" s="393">
        <f t="shared" si="58"/>
        <v>3.4042500000000002</v>
      </c>
      <c r="T233" s="393">
        <f t="shared" si="59"/>
        <v>3.681</v>
      </c>
      <c r="U233" s="413">
        <f t="shared" si="60"/>
        <v>3.681</v>
      </c>
    </row>
    <row r="234" spans="1:21">
      <c r="A234">
        <v>466</v>
      </c>
      <c r="B234">
        <v>228</v>
      </c>
      <c r="C234" t="s">
        <v>286</v>
      </c>
      <c r="D234" s="391">
        <f t="shared" si="50"/>
        <v>64.00800000000001</v>
      </c>
      <c r="E234" s="390">
        <v>206.9796690465007</v>
      </c>
      <c r="F234" s="400">
        <v>210.852</v>
      </c>
      <c r="G234" s="400">
        <v>121.212</v>
      </c>
      <c r="H234" s="400">
        <v>64.00800000000001</v>
      </c>
      <c r="I234" s="400">
        <v>64.00800000000001</v>
      </c>
      <c r="J234" s="400">
        <v>64.00800000000001</v>
      </c>
      <c r="K234" s="400">
        <v>64.00800000000001</v>
      </c>
      <c r="L234" s="400">
        <f t="shared" si="51"/>
        <v>115.02000000000001</v>
      </c>
      <c r="M234" s="413">
        <f t="shared" si="52"/>
        <v>115.02000000000001</v>
      </c>
      <c r="N234" s="413">
        <f t="shared" si="53"/>
        <v>115.02000000000001</v>
      </c>
      <c r="O234" s="393">
        <f t="shared" si="54"/>
        <v>208.91583452325034</v>
      </c>
      <c r="P234" s="393">
        <f t="shared" si="55"/>
        <v>166.03200000000001</v>
      </c>
      <c r="Q234" s="393">
        <f t="shared" si="56"/>
        <v>92.610000000000014</v>
      </c>
      <c r="R234" s="393">
        <f t="shared" si="57"/>
        <v>64.00800000000001</v>
      </c>
      <c r="S234" s="393">
        <f t="shared" si="58"/>
        <v>76.76100000000001</v>
      </c>
      <c r="T234" s="393">
        <f t="shared" si="59"/>
        <v>115.02000000000001</v>
      </c>
      <c r="U234" s="413">
        <f t="shared" si="60"/>
        <v>115.02000000000001</v>
      </c>
    </row>
    <row r="235" spans="1:21">
      <c r="A235">
        <v>377</v>
      </c>
      <c r="B235">
        <v>229</v>
      </c>
      <c r="C235" t="s">
        <v>19</v>
      </c>
      <c r="D235" s="391">
        <f t="shared" si="50"/>
        <v>11.376000000000001</v>
      </c>
      <c r="E235" s="390">
        <v>0.61614220514052365</v>
      </c>
      <c r="F235" s="400">
        <v>8.3160000000000007</v>
      </c>
      <c r="G235" s="400">
        <v>6.1559999999999997</v>
      </c>
      <c r="H235" s="400">
        <v>11.376000000000001</v>
      </c>
      <c r="I235" s="400">
        <v>11.376000000000001</v>
      </c>
      <c r="J235" s="400">
        <v>11.376000000000001</v>
      </c>
      <c r="K235" s="400">
        <v>11.376000000000001</v>
      </c>
      <c r="L235" s="400">
        <f t="shared" si="51"/>
        <v>9.3060000000000009</v>
      </c>
      <c r="M235" s="413">
        <f t="shared" si="52"/>
        <v>9.3060000000000009</v>
      </c>
      <c r="N235" s="413">
        <f t="shared" si="53"/>
        <v>9.3060000000000009</v>
      </c>
      <c r="O235" s="393">
        <f t="shared" si="54"/>
        <v>4.466071102570262</v>
      </c>
      <c r="P235" s="393">
        <f t="shared" si="55"/>
        <v>7.2360000000000007</v>
      </c>
      <c r="Q235" s="393">
        <f t="shared" si="56"/>
        <v>8.766</v>
      </c>
      <c r="R235" s="393">
        <f t="shared" si="57"/>
        <v>11.376000000000001</v>
      </c>
      <c r="S235" s="393">
        <f t="shared" si="58"/>
        <v>10.858499999999999</v>
      </c>
      <c r="T235" s="393">
        <f t="shared" si="59"/>
        <v>9.3060000000000009</v>
      </c>
      <c r="U235" s="413">
        <f t="shared" si="60"/>
        <v>9.3060000000000009</v>
      </c>
    </row>
    <row r="236" spans="1:21">
      <c r="A236">
        <v>121</v>
      </c>
      <c r="B236">
        <v>230</v>
      </c>
      <c r="C236" t="s">
        <v>20</v>
      </c>
      <c r="D236" s="391">
        <f t="shared" si="50"/>
        <v>31.968000000000004</v>
      </c>
      <c r="E236" s="390">
        <v>29.555468184708158</v>
      </c>
      <c r="F236" s="400">
        <v>40.031999999999996</v>
      </c>
      <c r="G236" s="400">
        <v>24.443999999999999</v>
      </c>
      <c r="H236" s="400">
        <v>31.968000000000004</v>
      </c>
      <c r="I236" s="400">
        <v>31.968000000000004</v>
      </c>
      <c r="J236" s="400">
        <v>31.968000000000004</v>
      </c>
      <c r="K236" s="400">
        <v>31.968000000000004</v>
      </c>
      <c r="L236" s="400">
        <f t="shared" si="51"/>
        <v>32.103000000000002</v>
      </c>
      <c r="M236" s="413">
        <f t="shared" si="52"/>
        <v>32.103000000000002</v>
      </c>
      <c r="N236" s="413">
        <f t="shared" si="53"/>
        <v>32.103000000000002</v>
      </c>
      <c r="O236" s="393">
        <f t="shared" si="54"/>
        <v>34.793734092354079</v>
      </c>
      <c r="P236" s="393">
        <f t="shared" si="55"/>
        <v>32.238</v>
      </c>
      <c r="Q236" s="393">
        <f t="shared" si="56"/>
        <v>28.206000000000003</v>
      </c>
      <c r="R236" s="393">
        <f t="shared" si="57"/>
        <v>31.968000000000004</v>
      </c>
      <c r="S236" s="393">
        <f t="shared" si="58"/>
        <v>32.001750000000001</v>
      </c>
      <c r="T236" s="393">
        <f t="shared" si="59"/>
        <v>32.103000000000002</v>
      </c>
      <c r="U236" s="413">
        <f t="shared" si="60"/>
        <v>32.103000000000002</v>
      </c>
    </row>
    <row r="237" spans="1:21">
      <c r="A237">
        <v>97</v>
      </c>
      <c r="B237">
        <v>231</v>
      </c>
      <c r="C237" t="s">
        <v>287</v>
      </c>
      <c r="D237" s="391">
        <f t="shared" si="50"/>
        <v>1.4400000000000002</v>
      </c>
      <c r="E237" s="390">
        <v>8.9805811709864969</v>
      </c>
      <c r="F237" s="400">
        <v>0.9</v>
      </c>
      <c r="G237" s="400">
        <v>0.57600000000000007</v>
      </c>
      <c r="H237" s="400">
        <v>1.4400000000000002</v>
      </c>
      <c r="I237" s="400">
        <v>1.4400000000000002</v>
      </c>
      <c r="J237" s="400">
        <v>1.4400000000000002</v>
      </c>
      <c r="K237" s="400">
        <v>1.4400000000000002</v>
      </c>
      <c r="L237" s="400">
        <f t="shared" si="51"/>
        <v>1.0890000000000002</v>
      </c>
      <c r="M237" s="413">
        <f t="shared" si="52"/>
        <v>1.0890000000000002</v>
      </c>
      <c r="N237" s="413">
        <f t="shared" si="53"/>
        <v>1.0890000000000002</v>
      </c>
      <c r="O237" s="393">
        <f t="shared" si="54"/>
        <v>4.9402905854932486</v>
      </c>
      <c r="P237" s="393">
        <f t="shared" si="55"/>
        <v>0.73799999999999999</v>
      </c>
      <c r="Q237" s="393">
        <f t="shared" si="56"/>
        <v>1.008</v>
      </c>
      <c r="R237" s="393">
        <f t="shared" si="57"/>
        <v>1.4400000000000002</v>
      </c>
      <c r="S237" s="393">
        <f t="shared" si="58"/>
        <v>1.3522500000000002</v>
      </c>
      <c r="T237" s="393">
        <f t="shared" si="59"/>
        <v>1.0890000000000002</v>
      </c>
      <c r="U237" s="413">
        <f t="shared" si="60"/>
        <v>1.0890000000000002</v>
      </c>
    </row>
    <row r="238" spans="1:21">
      <c r="A238">
        <v>381</v>
      </c>
      <c r="B238">
        <v>232</v>
      </c>
      <c r="C238" t="s">
        <v>288</v>
      </c>
      <c r="D238" s="391">
        <f t="shared" si="50"/>
        <v>92.88000000000001</v>
      </c>
      <c r="E238" s="390">
        <v>147.80095668804719</v>
      </c>
      <c r="F238" s="400">
        <v>120.92400000000002</v>
      </c>
      <c r="G238" s="400">
        <v>99.108000000000004</v>
      </c>
      <c r="H238" s="400">
        <v>92.88000000000001</v>
      </c>
      <c r="I238" s="400">
        <v>92.88000000000001</v>
      </c>
      <c r="J238" s="400">
        <v>92.88000000000001</v>
      </c>
      <c r="K238" s="400">
        <v>92.88000000000001</v>
      </c>
      <c r="L238" s="400">
        <f t="shared" si="51"/>
        <v>101.44800000000001</v>
      </c>
      <c r="M238" s="413">
        <f t="shared" si="52"/>
        <v>101.44800000000001</v>
      </c>
      <c r="N238" s="413">
        <f t="shared" si="53"/>
        <v>101.44800000000001</v>
      </c>
      <c r="O238" s="393">
        <f t="shared" si="54"/>
        <v>134.3624783440236</v>
      </c>
      <c r="P238" s="393">
        <f t="shared" si="55"/>
        <v>110.01600000000002</v>
      </c>
      <c r="Q238" s="393">
        <f t="shared" si="56"/>
        <v>95.994</v>
      </c>
      <c r="R238" s="393">
        <f t="shared" si="57"/>
        <v>92.88000000000001</v>
      </c>
      <c r="S238" s="393">
        <f t="shared" si="58"/>
        <v>95.02200000000002</v>
      </c>
      <c r="T238" s="393">
        <f t="shared" si="59"/>
        <v>101.44800000000001</v>
      </c>
      <c r="U238" s="413">
        <f t="shared" si="60"/>
        <v>101.44800000000001</v>
      </c>
    </row>
    <row r="239" spans="1:21">
      <c r="A239">
        <v>56</v>
      </c>
      <c r="B239">
        <v>233</v>
      </c>
      <c r="C239" t="s">
        <v>289</v>
      </c>
      <c r="D239" s="391">
        <f t="shared" si="50"/>
        <v>32.148000000000003</v>
      </c>
      <c r="E239" s="390">
        <v>41.430096229948255</v>
      </c>
      <c r="F239" s="400">
        <v>41.904000000000003</v>
      </c>
      <c r="G239" s="400">
        <v>42.480000000000004</v>
      </c>
      <c r="H239" s="400">
        <v>32.148000000000003</v>
      </c>
      <c r="I239" s="400">
        <v>32.148000000000003</v>
      </c>
      <c r="J239" s="400">
        <v>32.148000000000003</v>
      </c>
      <c r="K239" s="400">
        <v>32.148000000000003</v>
      </c>
      <c r="L239" s="400">
        <f t="shared" si="51"/>
        <v>37.17</v>
      </c>
      <c r="M239" s="413">
        <f t="shared" si="52"/>
        <v>37.17</v>
      </c>
      <c r="N239" s="413">
        <f t="shared" si="53"/>
        <v>37.17</v>
      </c>
      <c r="O239" s="393">
        <f t="shared" si="54"/>
        <v>41.667048114974129</v>
      </c>
      <c r="P239" s="393">
        <f t="shared" si="55"/>
        <v>42.192000000000007</v>
      </c>
      <c r="Q239" s="393">
        <f t="shared" si="56"/>
        <v>37.314000000000007</v>
      </c>
      <c r="R239" s="393">
        <f t="shared" si="57"/>
        <v>32.148000000000003</v>
      </c>
      <c r="S239" s="393">
        <f t="shared" si="58"/>
        <v>33.403500000000008</v>
      </c>
      <c r="T239" s="393">
        <f t="shared" si="59"/>
        <v>37.17</v>
      </c>
      <c r="U239" s="413">
        <f t="shared" si="60"/>
        <v>37.17</v>
      </c>
    </row>
    <row r="240" spans="1:21">
      <c r="A240">
        <v>177</v>
      </c>
      <c r="B240">
        <v>234</v>
      </c>
      <c r="C240" t="s">
        <v>290</v>
      </c>
      <c r="D240" s="391">
        <f t="shared" si="50"/>
        <v>0</v>
      </c>
      <c r="E240" s="390">
        <v>2.6296236054649125</v>
      </c>
      <c r="F240" s="400">
        <v>0</v>
      </c>
      <c r="G240" s="400">
        <v>0</v>
      </c>
      <c r="H240" s="400">
        <v>0</v>
      </c>
      <c r="I240" s="400">
        <v>0</v>
      </c>
      <c r="J240" s="400">
        <v>0</v>
      </c>
      <c r="K240" s="400">
        <v>0</v>
      </c>
      <c r="L240" s="400">
        <f t="shared" si="51"/>
        <v>0</v>
      </c>
      <c r="M240" s="413">
        <f t="shared" si="52"/>
        <v>0</v>
      </c>
      <c r="N240" s="413">
        <f t="shared" si="53"/>
        <v>0</v>
      </c>
      <c r="O240" s="393">
        <f t="shared" si="54"/>
        <v>1.3148118027324562</v>
      </c>
      <c r="P240" s="393">
        <f t="shared" si="55"/>
        <v>0</v>
      </c>
      <c r="Q240" s="393">
        <f t="shared" si="56"/>
        <v>0</v>
      </c>
      <c r="R240" s="393">
        <f t="shared" si="57"/>
        <v>0</v>
      </c>
      <c r="S240" s="393">
        <f t="shared" si="58"/>
        <v>0</v>
      </c>
      <c r="T240" s="393">
        <f t="shared" si="59"/>
        <v>0</v>
      </c>
      <c r="U240" s="413">
        <f t="shared" si="60"/>
        <v>0</v>
      </c>
    </row>
    <row r="241" spans="1:21">
      <c r="A241">
        <v>352</v>
      </c>
      <c r="B241">
        <v>235</v>
      </c>
      <c r="C241" t="s">
        <v>15</v>
      </c>
      <c r="D241" s="391">
        <f t="shared" si="50"/>
        <v>2.8080000000000003</v>
      </c>
      <c r="E241" s="390">
        <v>7.2992712773270991</v>
      </c>
      <c r="F241" s="400">
        <v>2.4120000000000004</v>
      </c>
      <c r="G241" s="400">
        <v>1.4040000000000001</v>
      </c>
      <c r="H241" s="400">
        <v>2.8080000000000003</v>
      </c>
      <c r="I241" s="400">
        <v>2.8080000000000003</v>
      </c>
      <c r="J241" s="400">
        <v>2.8080000000000003</v>
      </c>
      <c r="K241" s="400">
        <v>2.8080000000000003</v>
      </c>
      <c r="L241" s="400">
        <f t="shared" si="51"/>
        <v>2.3580000000000001</v>
      </c>
      <c r="M241" s="413">
        <f t="shared" si="52"/>
        <v>2.3580000000000001</v>
      </c>
      <c r="N241" s="413">
        <f t="shared" si="53"/>
        <v>2.3580000000000001</v>
      </c>
      <c r="O241" s="393">
        <f t="shared" si="54"/>
        <v>4.85563563866355</v>
      </c>
      <c r="P241" s="393">
        <f t="shared" si="55"/>
        <v>1.9080000000000004</v>
      </c>
      <c r="Q241" s="393">
        <f t="shared" si="56"/>
        <v>2.1060000000000003</v>
      </c>
      <c r="R241" s="393">
        <f t="shared" si="57"/>
        <v>2.8080000000000003</v>
      </c>
      <c r="S241" s="393">
        <f t="shared" si="58"/>
        <v>2.6955000000000005</v>
      </c>
      <c r="T241" s="393">
        <f t="shared" si="59"/>
        <v>2.3580000000000001</v>
      </c>
      <c r="U241" s="413">
        <f t="shared" si="60"/>
        <v>2.3580000000000001</v>
      </c>
    </row>
    <row r="242" spans="1:21">
      <c r="A242">
        <v>217</v>
      </c>
      <c r="B242">
        <v>236</v>
      </c>
      <c r="C242" t="s">
        <v>291</v>
      </c>
      <c r="D242" s="391">
        <f t="shared" si="50"/>
        <v>144.828</v>
      </c>
      <c r="E242" s="390">
        <v>197.55588115015976</v>
      </c>
      <c r="F242" s="400">
        <v>168.084</v>
      </c>
      <c r="G242" s="400">
        <v>188.28</v>
      </c>
      <c r="H242" s="400">
        <v>144.828</v>
      </c>
      <c r="I242" s="400">
        <v>144.828</v>
      </c>
      <c r="J242" s="400">
        <v>144.828</v>
      </c>
      <c r="K242" s="400">
        <v>144.828</v>
      </c>
      <c r="L242" s="400">
        <f t="shared" si="51"/>
        <v>161.505</v>
      </c>
      <c r="M242" s="413">
        <f t="shared" si="52"/>
        <v>161.505</v>
      </c>
      <c r="N242" s="413">
        <f t="shared" si="53"/>
        <v>161.505</v>
      </c>
      <c r="O242" s="393">
        <f t="shared" si="54"/>
        <v>182.8199405750799</v>
      </c>
      <c r="P242" s="393">
        <f t="shared" si="55"/>
        <v>178.18200000000002</v>
      </c>
      <c r="Q242" s="393">
        <f t="shared" si="56"/>
        <v>166.554</v>
      </c>
      <c r="R242" s="393">
        <f t="shared" si="57"/>
        <v>144.828</v>
      </c>
      <c r="S242" s="393">
        <f t="shared" si="58"/>
        <v>148.99725000000001</v>
      </c>
      <c r="T242" s="393">
        <f t="shared" si="59"/>
        <v>161.505</v>
      </c>
      <c r="U242" s="413">
        <f t="shared" si="60"/>
        <v>161.505</v>
      </c>
    </row>
    <row r="243" spans="1:21">
      <c r="A243">
        <v>379</v>
      </c>
      <c r="B243">
        <v>237</v>
      </c>
      <c r="C243" t="s">
        <v>292</v>
      </c>
      <c r="D243" s="391">
        <f t="shared" si="50"/>
        <v>5.7240000000000002</v>
      </c>
      <c r="E243" s="390">
        <v>1.6207280462232414</v>
      </c>
      <c r="F243" s="400">
        <v>1.8360000000000001</v>
      </c>
      <c r="G243" s="400">
        <v>5.8320000000000007</v>
      </c>
      <c r="H243" s="400">
        <v>5.7240000000000002</v>
      </c>
      <c r="I243" s="400">
        <v>5.7240000000000002</v>
      </c>
      <c r="J243" s="400">
        <v>5.7240000000000002</v>
      </c>
      <c r="K243" s="400">
        <v>5.7240000000000002</v>
      </c>
      <c r="L243" s="400">
        <f t="shared" si="51"/>
        <v>4.7789999999999999</v>
      </c>
      <c r="M243" s="413">
        <f t="shared" si="52"/>
        <v>4.7789999999999999</v>
      </c>
      <c r="N243" s="413">
        <f t="shared" si="53"/>
        <v>4.7789999999999999</v>
      </c>
      <c r="O243" s="393">
        <f t="shared" si="54"/>
        <v>1.7283640231116206</v>
      </c>
      <c r="P243" s="393">
        <f t="shared" si="55"/>
        <v>3.8340000000000005</v>
      </c>
      <c r="Q243" s="393">
        <f t="shared" si="56"/>
        <v>5.7780000000000005</v>
      </c>
      <c r="R243" s="393">
        <f t="shared" si="57"/>
        <v>5.7240000000000002</v>
      </c>
      <c r="S243" s="393">
        <f t="shared" si="58"/>
        <v>5.4877500000000001</v>
      </c>
      <c r="T243" s="393">
        <f t="shared" si="59"/>
        <v>4.7789999999999999</v>
      </c>
      <c r="U243" s="413">
        <f t="shared" si="60"/>
        <v>4.7789999999999999</v>
      </c>
    </row>
    <row r="244" spans="1:21">
      <c r="A244">
        <v>407</v>
      </c>
      <c r="B244">
        <v>238</v>
      </c>
      <c r="C244" t="s">
        <v>293</v>
      </c>
      <c r="D244" s="391">
        <f t="shared" si="50"/>
        <v>0.9</v>
      </c>
      <c r="E244" s="390">
        <v>0</v>
      </c>
      <c r="F244" s="400">
        <v>0</v>
      </c>
      <c r="G244" s="400">
        <v>1.1160000000000001</v>
      </c>
      <c r="H244" s="400">
        <v>0.9</v>
      </c>
      <c r="I244" s="400">
        <v>0.9</v>
      </c>
      <c r="J244" s="400">
        <v>0.9</v>
      </c>
      <c r="K244" s="400">
        <v>0.9</v>
      </c>
      <c r="L244" s="400">
        <f t="shared" si="51"/>
        <v>0.72899999999999998</v>
      </c>
      <c r="M244" s="413">
        <f t="shared" si="52"/>
        <v>0.72899999999999998</v>
      </c>
      <c r="N244" s="413">
        <f t="shared" si="53"/>
        <v>0.72899999999999998</v>
      </c>
      <c r="O244" s="393">
        <f t="shared" si="54"/>
        <v>0</v>
      </c>
      <c r="P244" s="393">
        <f t="shared" si="55"/>
        <v>0.55800000000000005</v>
      </c>
      <c r="Q244" s="393">
        <f t="shared" si="56"/>
        <v>1.008</v>
      </c>
      <c r="R244" s="393">
        <f t="shared" si="57"/>
        <v>0.9</v>
      </c>
      <c r="S244" s="393">
        <f t="shared" si="58"/>
        <v>0.85725000000000007</v>
      </c>
      <c r="T244" s="393">
        <f t="shared" si="59"/>
        <v>0.72899999999999998</v>
      </c>
      <c r="U244" s="413">
        <f t="shared" si="60"/>
        <v>0.72899999999999998</v>
      </c>
    </row>
    <row r="245" spans="1:21">
      <c r="A245">
        <v>133</v>
      </c>
      <c r="B245">
        <v>239</v>
      </c>
      <c r="C245" t="s">
        <v>567</v>
      </c>
      <c r="D245" s="391">
        <f t="shared" si="50"/>
        <v>0</v>
      </c>
      <c r="E245" s="390">
        <v>0</v>
      </c>
      <c r="F245" s="400">
        <v>0</v>
      </c>
      <c r="G245" s="400">
        <v>0</v>
      </c>
      <c r="H245" s="400">
        <v>0</v>
      </c>
      <c r="I245" s="400">
        <v>0</v>
      </c>
      <c r="J245" s="400">
        <v>0</v>
      </c>
      <c r="K245" s="400">
        <v>0</v>
      </c>
      <c r="L245" s="400">
        <f t="shared" si="51"/>
        <v>0</v>
      </c>
      <c r="M245" s="413">
        <f t="shared" si="52"/>
        <v>0</v>
      </c>
      <c r="N245" s="413">
        <f t="shared" si="53"/>
        <v>0</v>
      </c>
      <c r="O245" s="393">
        <f t="shared" si="54"/>
        <v>0</v>
      </c>
      <c r="P245" s="393">
        <f t="shared" si="55"/>
        <v>0</v>
      </c>
      <c r="Q245" s="393">
        <f t="shared" si="56"/>
        <v>0</v>
      </c>
      <c r="R245" s="393">
        <f t="shared" si="57"/>
        <v>0</v>
      </c>
      <c r="S245" s="393">
        <f t="shared" si="58"/>
        <v>0</v>
      </c>
      <c r="T245" s="393">
        <f t="shared" si="59"/>
        <v>0</v>
      </c>
      <c r="U245" s="413">
        <f t="shared" si="60"/>
        <v>0</v>
      </c>
    </row>
    <row r="246" spans="1:21">
      <c r="A246">
        <v>84</v>
      </c>
      <c r="B246">
        <v>240</v>
      </c>
      <c r="C246" t="s">
        <v>294</v>
      </c>
      <c r="D246" s="391">
        <f t="shared" si="50"/>
        <v>0</v>
      </c>
      <c r="E246" s="390">
        <v>0</v>
      </c>
      <c r="F246" s="400">
        <v>0</v>
      </c>
      <c r="G246" s="400">
        <v>0</v>
      </c>
      <c r="H246" s="400">
        <v>0</v>
      </c>
      <c r="I246" s="400">
        <v>0</v>
      </c>
      <c r="J246" s="400">
        <v>0</v>
      </c>
      <c r="K246" s="400">
        <v>0</v>
      </c>
      <c r="L246" s="400">
        <f t="shared" si="51"/>
        <v>0</v>
      </c>
      <c r="M246" s="413">
        <f t="shared" si="52"/>
        <v>0</v>
      </c>
      <c r="N246" s="413">
        <f t="shared" si="53"/>
        <v>0</v>
      </c>
      <c r="O246" s="393">
        <f t="shared" si="54"/>
        <v>0</v>
      </c>
      <c r="P246" s="393">
        <f t="shared" si="55"/>
        <v>0</v>
      </c>
      <c r="Q246" s="393">
        <f t="shared" si="56"/>
        <v>0</v>
      </c>
      <c r="R246" s="393">
        <f t="shared" si="57"/>
        <v>0</v>
      </c>
      <c r="S246" s="393">
        <f t="shared" si="58"/>
        <v>0</v>
      </c>
      <c r="T246" s="393">
        <f t="shared" si="59"/>
        <v>0</v>
      </c>
      <c r="U246" s="413">
        <f t="shared" si="60"/>
        <v>0</v>
      </c>
    </row>
    <row r="247" spans="1:21">
      <c r="A247">
        <v>180</v>
      </c>
      <c r="B247">
        <v>241</v>
      </c>
      <c r="C247" t="s">
        <v>295</v>
      </c>
      <c r="D247" s="391">
        <f t="shared" si="50"/>
        <v>0</v>
      </c>
      <c r="E247" s="390">
        <v>0</v>
      </c>
      <c r="F247" s="400">
        <v>0</v>
      </c>
      <c r="G247" s="400">
        <v>0</v>
      </c>
      <c r="H247" s="400">
        <v>0</v>
      </c>
      <c r="I247" s="400">
        <v>0</v>
      </c>
      <c r="J247" s="400">
        <v>0</v>
      </c>
      <c r="K247" s="400">
        <v>0</v>
      </c>
      <c r="L247" s="400">
        <f t="shared" si="51"/>
        <v>0</v>
      </c>
      <c r="M247" s="413">
        <f t="shared" si="52"/>
        <v>0</v>
      </c>
      <c r="N247" s="413">
        <f t="shared" si="53"/>
        <v>0</v>
      </c>
      <c r="O247" s="393">
        <f t="shared" si="54"/>
        <v>0</v>
      </c>
      <c r="P247" s="393">
        <f t="shared" si="55"/>
        <v>0</v>
      </c>
      <c r="Q247" s="393">
        <f t="shared" si="56"/>
        <v>0</v>
      </c>
      <c r="R247" s="393">
        <f t="shared" si="57"/>
        <v>0</v>
      </c>
      <c r="S247" s="393">
        <f t="shared" si="58"/>
        <v>0</v>
      </c>
      <c r="T247" s="393">
        <f t="shared" si="59"/>
        <v>0</v>
      </c>
      <c r="U247" s="413">
        <f t="shared" si="60"/>
        <v>0</v>
      </c>
    </row>
    <row r="248" spans="1:21">
      <c r="A248">
        <v>34</v>
      </c>
      <c r="B248">
        <v>242</v>
      </c>
      <c r="C248" t="s">
        <v>338</v>
      </c>
      <c r="D248" s="391">
        <f t="shared" si="50"/>
        <v>6.048</v>
      </c>
      <c r="E248" s="390">
        <v>1.2885339805825242</v>
      </c>
      <c r="F248" s="400">
        <v>2.052</v>
      </c>
      <c r="G248" s="400">
        <v>0.50400000000000011</v>
      </c>
      <c r="H248" s="400">
        <v>6.048</v>
      </c>
      <c r="I248" s="400">
        <v>6.048</v>
      </c>
      <c r="J248" s="400">
        <v>6.048</v>
      </c>
      <c r="K248" s="400">
        <v>6.048</v>
      </c>
      <c r="L248" s="400">
        <f t="shared" si="51"/>
        <v>3.6629999999999998</v>
      </c>
      <c r="M248" s="413">
        <f t="shared" si="52"/>
        <v>3.6629999999999998</v>
      </c>
      <c r="N248" s="413">
        <f t="shared" si="53"/>
        <v>3.6629999999999998</v>
      </c>
      <c r="O248" s="393">
        <f t="shared" si="54"/>
        <v>1.6702669902912621</v>
      </c>
      <c r="P248" s="393">
        <f t="shared" si="55"/>
        <v>1.278</v>
      </c>
      <c r="Q248" s="393">
        <f t="shared" si="56"/>
        <v>3.2760000000000002</v>
      </c>
      <c r="R248" s="393">
        <f t="shared" si="57"/>
        <v>6.048</v>
      </c>
      <c r="S248" s="393">
        <f t="shared" si="58"/>
        <v>5.4517499999999997</v>
      </c>
      <c r="T248" s="393">
        <f t="shared" si="59"/>
        <v>3.6629999999999998</v>
      </c>
      <c r="U248" s="413">
        <f t="shared" si="60"/>
        <v>3.6629999999999998</v>
      </c>
    </row>
    <row r="249" spans="1:21">
      <c r="A249">
        <v>253</v>
      </c>
      <c r="B249">
        <v>243</v>
      </c>
      <c r="C249" t="s">
        <v>296</v>
      </c>
      <c r="D249" s="391">
        <f t="shared" si="50"/>
        <v>66.024000000000001</v>
      </c>
      <c r="E249" s="390">
        <v>91.844474491885933</v>
      </c>
      <c r="F249" s="400">
        <v>34.668000000000006</v>
      </c>
      <c r="G249" s="400">
        <v>13.860000000000001</v>
      </c>
      <c r="H249" s="400">
        <v>66.024000000000001</v>
      </c>
      <c r="I249" s="400">
        <v>66.024000000000001</v>
      </c>
      <c r="J249" s="400">
        <v>66.024000000000001</v>
      </c>
      <c r="K249" s="400">
        <v>66.024000000000001</v>
      </c>
      <c r="L249" s="400">
        <f t="shared" si="51"/>
        <v>45.144000000000005</v>
      </c>
      <c r="M249" s="413">
        <f t="shared" si="52"/>
        <v>45.144000000000005</v>
      </c>
      <c r="N249" s="413">
        <f t="shared" si="53"/>
        <v>45.144000000000005</v>
      </c>
      <c r="O249" s="393">
        <f t="shared" si="54"/>
        <v>63.25623724594297</v>
      </c>
      <c r="P249" s="393">
        <f t="shared" si="55"/>
        <v>24.264000000000003</v>
      </c>
      <c r="Q249" s="393">
        <f t="shared" si="56"/>
        <v>39.942</v>
      </c>
      <c r="R249" s="393">
        <f t="shared" si="57"/>
        <v>66.024000000000001</v>
      </c>
      <c r="S249" s="393">
        <f t="shared" si="58"/>
        <v>60.804000000000002</v>
      </c>
      <c r="T249" s="393">
        <f t="shared" si="59"/>
        <v>45.144000000000005</v>
      </c>
      <c r="U249" s="413">
        <f t="shared" si="60"/>
        <v>45.144000000000005</v>
      </c>
    </row>
    <row r="250" spans="1:21">
      <c r="A250">
        <v>444</v>
      </c>
      <c r="B250">
        <v>244</v>
      </c>
      <c r="C250" t="s">
        <v>297</v>
      </c>
      <c r="D250" s="391">
        <f t="shared" si="50"/>
        <v>0.108</v>
      </c>
      <c r="E250" s="390">
        <v>0.18685412810936999</v>
      </c>
      <c r="F250" s="400">
        <v>3.6000000000000004E-2</v>
      </c>
      <c r="G250" s="400">
        <v>3.6000000000000004E-2</v>
      </c>
      <c r="H250" s="400">
        <v>0.108</v>
      </c>
      <c r="I250" s="400">
        <v>0.108</v>
      </c>
      <c r="J250" s="400">
        <v>0.108</v>
      </c>
      <c r="K250" s="400">
        <v>0.108</v>
      </c>
      <c r="L250" s="400">
        <f t="shared" si="51"/>
        <v>7.1999999999999995E-2</v>
      </c>
      <c r="M250" s="413">
        <f t="shared" si="52"/>
        <v>7.1999999999999995E-2</v>
      </c>
      <c r="N250" s="413">
        <f t="shared" si="53"/>
        <v>7.1999999999999995E-2</v>
      </c>
      <c r="O250" s="393">
        <f t="shared" si="54"/>
        <v>0.111427064054685</v>
      </c>
      <c r="P250" s="393">
        <f t="shared" si="55"/>
        <v>3.6000000000000004E-2</v>
      </c>
      <c r="Q250" s="393">
        <f t="shared" si="56"/>
        <v>7.2000000000000008E-2</v>
      </c>
      <c r="R250" s="393">
        <f t="shared" si="57"/>
        <v>0.108</v>
      </c>
      <c r="S250" s="393">
        <f t="shared" si="58"/>
        <v>9.9000000000000005E-2</v>
      </c>
      <c r="T250" s="393">
        <f t="shared" si="59"/>
        <v>7.1999999999999995E-2</v>
      </c>
      <c r="U250" s="413">
        <f t="shared" si="60"/>
        <v>7.1999999999999995E-2</v>
      </c>
    </row>
    <row r="251" spans="1:21">
      <c r="A251">
        <v>376</v>
      </c>
      <c r="B251">
        <v>245</v>
      </c>
      <c r="C251" t="s">
        <v>298</v>
      </c>
      <c r="D251" s="391">
        <f t="shared" si="50"/>
        <v>57.42</v>
      </c>
      <c r="E251" s="390">
        <v>83.471070327357836</v>
      </c>
      <c r="F251" s="400">
        <v>56.34</v>
      </c>
      <c r="G251" s="400">
        <v>59.724000000000004</v>
      </c>
      <c r="H251" s="400">
        <v>57.42</v>
      </c>
      <c r="I251" s="400">
        <v>57.42</v>
      </c>
      <c r="J251" s="400">
        <v>57.42</v>
      </c>
      <c r="K251" s="400">
        <v>57.42</v>
      </c>
      <c r="L251" s="400">
        <f t="shared" si="51"/>
        <v>57.725999999999999</v>
      </c>
      <c r="M251" s="413">
        <f t="shared" si="52"/>
        <v>57.725999999999999</v>
      </c>
      <c r="N251" s="413">
        <f t="shared" si="53"/>
        <v>57.725999999999999</v>
      </c>
      <c r="O251" s="393">
        <f t="shared" si="54"/>
        <v>69.90553516367892</v>
      </c>
      <c r="P251" s="393">
        <f t="shared" si="55"/>
        <v>58.032000000000004</v>
      </c>
      <c r="Q251" s="393">
        <f t="shared" si="56"/>
        <v>58.572000000000003</v>
      </c>
      <c r="R251" s="393">
        <f t="shared" si="57"/>
        <v>57.42</v>
      </c>
      <c r="S251" s="393">
        <f t="shared" si="58"/>
        <v>57.496499999999997</v>
      </c>
      <c r="T251" s="393">
        <f t="shared" si="59"/>
        <v>57.725999999999999</v>
      </c>
      <c r="U251" s="413">
        <f t="shared" si="60"/>
        <v>57.725999999999999</v>
      </c>
    </row>
    <row r="252" spans="1:21">
      <c r="A252">
        <v>85</v>
      </c>
      <c r="B252">
        <v>246</v>
      </c>
      <c r="C252" t="s">
        <v>383</v>
      </c>
      <c r="D252" s="391">
        <f t="shared" si="50"/>
        <v>9.1079999999999988</v>
      </c>
      <c r="E252" s="390">
        <v>11.384992031205249</v>
      </c>
      <c r="F252" s="400">
        <v>9.2519999999999989</v>
      </c>
      <c r="G252" s="400">
        <v>2.52</v>
      </c>
      <c r="H252" s="400">
        <v>9.1079999999999988</v>
      </c>
      <c r="I252" s="400">
        <v>9.1079999999999988</v>
      </c>
      <c r="J252" s="400">
        <v>9.1079999999999988</v>
      </c>
      <c r="K252" s="400">
        <v>9.1079999999999988</v>
      </c>
      <c r="L252" s="400">
        <f t="shared" si="51"/>
        <v>7.4969999999999981</v>
      </c>
      <c r="M252" s="413">
        <f t="shared" si="52"/>
        <v>7.4969999999999981</v>
      </c>
      <c r="N252" s="413">
        <f t="shared" si="53"/>
        <v>7.4969999999999981</v>
      </c>
      <c r="O252" s="393">
        <f t="shared" si="54"/>
        <v>10.318496015602623</v>
      </c>
      <c r="P252" s="393">
        <f t="shared" si="55"/>
        <v>5.8859999999999992</v>
      </c>
      <c r="Q252" s="393">
        <f t="shared" si="56"/>
        <v>5.8139999999999992</v>
      </c>
      <c r="R252" s="393">
        <f t="shared" si="57"/>
        <v>9.1079999999999988</v>
      </c>
      <c r="S252" s="393">
        <f t="shared" si="58"/>
        <v>8.7052499999999995</v>
      </c>
      <c r="T252" s="393">
        <f t="shared" si="59"/>
        <v>7.4969999999999981</v>
      </c>
      <c r="U252" s="413">
        <f t="shared" si="60"/>
        <v>7.4969999999999981</v>
      </c>
    </row>
    <row r="253" spans="1:21">
      <c r="A253">
        <v>222</v>
      </c>
      <c r="B253">
        <v>247</v>
      </c>
      <c r="C253" t="s">
        <v>299</v>
      </c>
      <c r="D253" s="391">
        <f t="shared" si="50"/>
        <v>203.54400000000001</v>
      </c>
      <c r="E253" s="390">
        <v>188.68433142857143</v>
      </c>
      <c r="F253" s="400">
        <v>199.72799999999998</v>
      </c>
      <c r="G253" s="400">
        <v>242.06399999999999</v>
      </c>
      <c r="H253" s="400">
        <v>203.54400000000001</v>
      </c>
      <c r="I253" s="400">
        <v>203.54400000000001</v>
      </c>
      <c r="J253" s="400">
        <v>203.54400000000001</v>
      </c>
      <c r="K253" s="400">
        <v>203.54400000000001</v>
      </c>
      <c r="L253" s="400">
        <f t="shared" si="51"/>
        <v>212.22</v>
      </c>
      <c r="M253" s="413">
        <f t="shared" si="52"/>
        <v>212.22</v>
      </c>
      <c r="N253" s="413">
        <f t="shared" si="53"/>
        <v>212.22</v>
      </c>
      <c r="O253" s="393">
        <f t="shared" si="54"/>
        <v>194.2061657142857</v>
      </c>
      <c r="P253" s="393">
        <f t="shared" si="55"/>
        <v>220.89599999999999</v>
      </c>
      <c r="Q253" s="393">
        <f t="shared" si="56"/>
        <v>222.804</v>
      </c>
      <c r="R253" s="393">
        <f t="shared" si="57"/>
        <v>203.54400000000001</v>
      </c>
      <c r="S253" s="393">
        <f t="shared" si="58"/>
        <v>205.71300000000002</v>
      </c>
      <c r="T253" s="393">
        <f t="shared" si="59"/>
        <v>212.22</v>
      </c>
      <c r="U253" s="413">
        <f t="shared" si="60"/>
        <v>212.22</v>
      </c>
    </row>
    <row r="254" spans="1:21">
      <c r="A254" t="e">
        <v>#N/A</v>
      </c>
      <c r="B254">
        <v>248</v>
      </c>
      <c r="C254" t="s">
        <v>22</v>
      </c>
      <c r="D254" s="391">
        <f t="shared" si="50"/>
        <v>15.228000000000002</v>
      </c>
      <c r="E254" s="390">
        <v>7.5450550495942297</v>
      </c>
      <c r="F254" s="400">
        <v>12.528</v>
      </c>
      <c r="G254" s="400">
        <v>6.516</v>
      </c>
      <c r="H254" s="400">
        <v>15.228000000000002</v>
      </c>
      <c r="I254" s="400">
        <v>15.228000000000002</v>
      </c>
      <c r="J254" s="400">
        <v>15.228000000000002</v>
      </c>
      <c r="K254" s="400">
        <v>15.228000000000002</v>
      </c>
      <c r="L254" s="400">
        <f t="shared" si="51"/>
        <v>12.375000000000002</v>
      </c>
      <c r="M254" s="413">
        <f t="shared" si="52"/>
        <v>12.375000000000002</v>
      </c>
      <c r="N254" s="413">
        <f t="shared" si="53"/>
        <v>12.375000000000002</v>
      </c>
      <c r="O254" s="393">
        <f t="shared" si="54"/>
        <v>10.036527524797116</v>
      </c>
      <c r="P254" s="393">
        <f t="shared" si="55"/>
        <v>9.5220000000000002</v>
      </c>
      <c r="Q254" s="393">
        <f t="shared" si="56"/>
        <v>10.872</v>
      </c>
      <c r="R254" s="393">
        <f t="shared" si="57"/>
        <v>15.228000000000002</v>
      </c>
      <c r="S254" s="393">
        <f t="shared" si="58"/>
        <v>14.514750000000001</v>
      </c>
      <c r="T254" s="393">
        <f t="shared" si="59"/>
        <v>12.375000000000002</v>
      </c>
      <c r="U254" s="413">
        <f t="shared" si="60"/>
        <v>12.375000000000002</v>
      </c>
    </row>
    <row r="255" spans="1:21">
      <c r="A255">
        <v>57</v>
      </c>
      <c r="B255">
        <v>249</v>
      </c>
      <c r="C255" t="s">
        <v>529</v>
      </c>
      <c r="D255" s="391">
        <f t="shared" si="50"/>
        <v>0</v>
      </c>
      <c r="E255" s="390">
        <v>0</v>
      </c>
      <c r="F255" s="400">
        <v>0</v>
      </c>
      <c r="G255" s="400">
        <v>0</v>
      </c>
      <c r="H255" s="400">
        <v>0</v>
      </c>
      <c r="I255" s="400">
        <v>0</v>
      </c>
      <c r="J255" s="400">
        <v>0</v>
      </c>
      <c r="K255" s="400">
        <v>0</v>
      </c>
      <c r="L255" s="400">
        <f t="shared" si="51"/>
        <v>0</v>
      </c>
      <c r="M255" s="413">
        <f t="shared" si="52"/>
        <v>0</v>
      </c>
      <c r="N255" s="413">
        <f t="shared" si="53"/>
        <v>0</v>
      </c>
      <c r="O255" s="393">
        <f t="shared" si="54"/>
        <v>0</v>
      </c>
      <c r="P255" s="393">
        <f t="shared" si="55"/>
        <v>0</v>
      </c>
      <c r="Q255" s="393">
        <f t="shared" si="56"/>
        <v>0</v>
      </c>
      <c r="R255" s="393">
        <f t="shared" si="57"/>
        <v>0</v>
      </c>
      <c r="S255" s="393">
        <f t="shared" si="58"/>
        <v>0</v>
      </c>
      <c r="T255" s="393">
        <f t="shared" si="59"/>
        <v>0</v>
      </c>
      <c r="U255" s="413">
        <f t="shared" si="60"/>
        <v>0</v>
      </c>
    </row>
    <row r="256" spans="1:21">
      <c r="A256">
        <v>58</v>
      </c>
      <c r="B256">
        <v>250</v>
      </c>
      <c r="C256" t="s">
        <v>303</v>
      </c>
      <c r="D256" s="391">
        <f t="shared" si="50"/>
        <v>69.768000000000001</v>
      </c>
      <c r="E256" s="390">
        <v>130.40710978623963</v>
      </c>
      <c r="F256" s="400">
        <v>58.428000000000004</v>
      </c>
      <c r="G256" s="400">
        <v>46.440000000000005</v>
      </c>
      <c r="H256" s="400">
        <v>69.768000000000001</v>
      </c>
      <c r="I256" s="400">
        <v>69.768000000000001</v>
      </c>
      <c r="J256" s="400">
        <v>69.768000000000001</v>
      </c>
      <c r="K256" s="400">
        <v>69.768000000000001</v>
      </c>
      <c r="L256" s="400">
        <f t="shared" si="51"/>
        <v>61.101000000000006</v>
      </c>
      <c r="M256" s="413">
        <f t="shared" si="52"/>
        <v>61.101000000000006</v>
      </c>
      <c r="N256" s="413">
        <f t="shared" si="53"/>
        <v>61.101000000000006</v>
      </c>
      <c r="O256" s="393">
        <f t="shared" si="54"/>
        <v>94.417554893119814</v>
      </c>
      <c r="P256" s="393">
        <f t="shared" si="55"/>
        <v>52.434000000000005</v>
      </c>
      <c r="Q256" s="393">
        <f t="shared" si="56"/>
        <v>58.103999999999999</v>
      </c>
      <c r="R256" s="393">
        <f t="shared" si="57"/>
        <v>69.768000000000001</v>
      </c>
      <c r="S256" s="393">
        <f t="shared" si="58"/>
        <v>67.601250000000007</v>
      </c>
      <c r="T256" s="393">
        <f t="shared" si="59"/>
        <v>61.101000000000006</v>
      </c>
      <c r="U256" s="413">
        <f t="shared" si="60"/>
        <v>61.101000000000006</v>
      </c>
    </row>
    <row r="257" spans="1:21">
      <c r="A257">
        <v>110</v>
      </c>
      <c r="B257">
        <v>251</v>
      </c>
      <c r="C257" t="s">
        <v>304</v>
      </c>
      <c r="D257" s="391">
        <f t="shared" si="50"/>
        <v>90.86399999999999</v>
      </c>
      <c r="E257" s="390">
        <v>127.05312500706312</v>
      </c>
      <c r="F257" s="400">
        <v>85.5</v>
      </c>
      <c r="G257" s="400">
        <v>87.623999999999995</v>
      </c>
      <c r="H257" s="400">
        <v>90.86399999999999</v>
      </c>
      <c r="I257" s="400">
        <v>90.86399999999999</v>
      </c>
      <c r="J257" s="400">
        <v>90.86399999999999</v>
      </c>
      <c r="K257" s="400">
        <v>90.86399999999999</v>
      </c>
      <c r="L257" s="400">
        <f t="shared" si="51"/>
        <v>88.712999999999994</v>
      </c>
      <c r="M257" s="413">
        <f t="shared" si="52"/>
        <v>88.712999999999994</v>
      </c>
      <c r="N257" s="413">
        <f t="shared" si="53"/>
        <v>88.712999999999994</v>
      </c>
      <c r="O257" s="393">
        <f t="shared" si="54"/>
        <v>106.27656250353155</v>
      </c>
      <c r="P257" s="393">
        <f t="shared" si="55"/>
        <v>86.561999999999998</v>
      </c>
      <c r="Q257" s="393">
        <f t="shared" si="56"/>
        <v>89.244</v>
      </c>
      <c r="R257" s="393">
        <f t="shared" si="57"/>
        <v>90.86399999999999</v>
      </c>
      <c r="S257" s="393">
        <f t="shared" si="58"/>
        <v>90.326249999999987</v>
      </c>
      <c r="T257" s="393">
        <f t="shared" si="59"/>
        <v>88.712999999999994</v>
      </c>
      <c r="U257" s="413">
        <f t="shared" si="60"/>
        <v>88.712999999999994</v>
      </c>
    </row>
    <row r="258" spans="1:21">
      <c r="A258">
        <v>257</v>
      </c>
      <c r="B258">
        <v>252</v>
      </c>
      <c r="C258" t="s">
        <v>203</v>
      </c>
      <c r="D258" s="391">
        <f t="shared" si="50"/>
        <v>1.2240000000000002</v>
      </c>
      <c r="E258" s="390">
        <v>2.2156992456098243</v>
      </c>
      <c r="F258" s="400">
        <v>3.8160000000000003</v>
      </c>
      <c r="G258" s="400">
        <v>2.7</v>
      </c>
      <c r="H258" s="400">
        <v>1.2240000000000002</v>
      </c>
      <c r="I258" s="400">
        <v>1.2240000000000002</v>
      </c>
      <c r="J258" s="400">
        <v>1.2240000000000002</v>
      </c>
      <c r="K258" s="400">
        <v>1.2240000000000002</v>
      </c>
      <c r="L258" s="400">
        <f t="shared" si="51"/>
        <v>2.2410000000000001</v>
      </c>
      <c r="M258" s="413">
        <f t="shared" si="52"/>
        <v>2.2410000000000001</v>
      </c>
      <c r="N258" s="413">
        <f t="shared" si="53"/>
        <v>2.2410000000000001</v>
      </c>
      <c r="O258" s="393">
        <f t="shared" si="54"/>
        <v>3.0158496228049123</v>
      </c>
      <c r="P258" s="393">
        <f t="shared" si="55"/>
        <v>3.258</v>
      </c>
      <c r="Q258" s="393">
        <f t="shared" si="56"/>
        <v>1.9620000000000002</v>
      </c>
      <c r="R258" s="393">
        <f t="shared" si="57"/>
        <v>1.2240000000000002</v>
      </c>
      <c r="S258" s="393">
        <f t="shared" si="58"/>
        <v>1.4782500000000001</v>
      </c>
      <c r="T258" s="393">
        <f t="shared" si="59"/>
        <v>2.2410000000000001</v>
      </c>
      <c r="U258" s="413">
        <f t="shared" si="60"/>
        <v>2.2410000000000001</v>
      </c>
    </row>
    <row r="259" spans="1:21">
      <c r="A259">
        <v>232</v>
      </c>
      <c r="B259">
        <v>253</v>
      </c>
      <c r="C259" t="s">
        <v>305</v>
      </c>
      <c r="D259" s="391">
        <f t="shared" si="50"/>
        <v>15.048</v>
      </c>
      <c r="E259" s="390">
        <v>194.65923137280501</v>
      </c>
      <c r="F259" s="400">
        <v>32.724000000000004</v>
      </c>
      <c r="G259" s="400">
        <v>5.7960000000000003</v>
      </c>
      <c r="H259" s="400">
        <v>15.048</v>
      </c>
      <c r="I259" s="400">
        <v>15.048</v>
      </c>
      <c r="J259" s="400">
        <v>15.048</v>
      </c>
      <c r="K259" s="400">
        <v>15.048</v>
      </c>
      <c r="L259" s="400">
        <f t="shared" si="51"/>
        <v>17.154</v>
      </c>
      <c r="M259" s="413">
        <f t="shared" si="52"/>
        <v>17.154</v>
      </c>
      <c r="N259" s="413">
        <f t="shared" si="53"/>
        <v>17.154</v>
      </c>
      <c r="O259" s="393">
        <f t="shared" si="54"/>
        <v>113.69161568640251</v>
      </c>
      <c r="P259" s="393">
        <f t="shared" si="55"/>
        <v>19.260000000000002</v>
      </c>
      <c r="Q259" s="393">
        <f t="shared" si="56"/>
        <v>10.422000000000001</v>
      </c>
      <c r="R259" s="393">
        <f t="shared" si="57"/>
        <v>15.048</v>
      </c>
      <c r="S259" s="393">
        <f t="shared" si="58"/>
        <v>15.5745</v>
      </c>
      <c r="T259" s="393">
        <f t="shared" si="59"/>
        <v>17.154</v>
      </c>
      <c r="U259" s="413">
        <f t="shared" si="60"/>
        <v>17.154</v>
      </c>
    </row>
    <row r="260" spans="1:21">
      <c r="A260">
        <v>223</v>
      </c>
      <c r="B260">
        <v>254</v>
      </c>
      <c r="C260" t="s">
        <v>204</v>
      </c>
      <c r="D260" s="391">
        <f t="shared" si="50"/>
        <v>8.64</v>
      </c>
      <c r="E260" s="390">
        <v>2.3497732023983566</v>
      </c>
      <c r="F260" s="400">
        <v>10.44</v>
      </c>
      <c r="G260" s="400">
        <v>4.5360000000000005</v>
      </c>
      <c r="H260" s="400">
        <v>8.64</v>
      </c>
      <c r="I260" s="400">
        <v>8.64</v>
      </c>
      <c r="J260" s="400">
        <v>8.64</v>
      </c>
      <c r="K260" s="400">
        <v>8.64</v>
      </c>
      <c r="L260" s="400">
        <f t="shared" si="51"/>
        <v>8.0640000000000001</v>
      </c>
      <c r="M260" s="413">
        <f t="shared" si="52"/>
        <v>8.0640000000000001</v>
      </c>
      <c r="N260" s="413">
        <f t="shared" si="53"/>
        <v>8.0640000000000001</v>
      </c>
      <c r="O260" s="393">
        <f t="shared" si="54"/>
        <v>6.3948866011991781</v>
      </c>
      <c r="P260" s="393">
        <f t="shared" si="55"/>
        <v>7.4879999999999995</v>
      </c>
      <c r="Q260" s="393">
        <f t="shared" si="56"/>
        <v>6.588000000000001</v>
      </c>
      <c r="R260" s="393">
        <f t="shared" si="57"/>
        <v>8.64</v>
      </c>
      <c r="S260" s="393">
        <f t="shared" si="58"/>
        <v>8.4960000000000004</v>
      </c>
      <c r="T260" s="393">
        <f t="shared" si="59"/>
        <v>8.0640000000000001</v>
      </c>
      <c r="U260" s="413">
        <f t="shared" si="60"/>
        <v>8.0640000000000001</v>
      </c>
    </row>
    <row r="261" spans="1:21">
      <c r="A261">
        <v>68</v>
      </c>
      <c r="B261">
        <v>255</v>
      </c>
      <c r="C261" t="s">
        <v>306</v>
      </c>
      <c r="D261" s="391">
        <f t="shared" si="50"/>
        <v>34.164000000000001</v>
      </c>
      <c r="E261" s="390">
        <v>92.063196264651523</v>
      </c>
      <c r="F261" s="400">
        <v>73.584000000000003</v>
      </c>
      <c r="G261" s="400">
        <v>39.347999999999999</v>
      </c>
      <c r="H261" s="400">
        <v>34.164000000000001</v>
      </c>
      <c r="I261" s="400">
        <v>34.164000000000001</v>
      </c>
      <c r="J261" s="400">
        <v>34.164000000000001</v>
      </c>
      <c r="K261" s="400">
        <v>34.164000000000001</v>
      </c>
      <c r="L261" s="400">
        <f t="shared" si="51"/>
        <v>45.314999999999998</v>
      </c>
      <c r="M261" s="413">
        <f t="shared" si="52"/>
        <v>45.314999999999998</v>
      </c>
      <c r="N261" s="413">
        <f t="shared" si="53"/>
        <v>45.314999999999998</v>
      </c>
      <c r="O261" s="393">
        <f t="shared" si="54"/>
        <v>82.82359813232577</v>
      </c>
      <c r="P261" s="393">
        <f t="shared" si="55"/>
        <v>56.466000000000001</v>
      </c>
      <c r="Q261" s="393">
        <f t="shared" si="56"/>
        <v>36.756</v>
      </c>
      <c r="R261" s="393">
        <f t="shared" si="57"/>
        <v>34.164000000000001</v>
      </c>
      <c r="S261" s="393">
        <f t="shared" si="58"/>
        <v>36.951750000000004</v>
      </c>
      <c r="T261" s="393">
        <f t="shared" si="59"/>
        <v>45.314999999999998</v>
      </c>
      <c r="U261" s="413">
        <f t="shared" si="60"/>
        <v>45.314999999999998</v>
      </c>
    </row>
    <row r="262" spans="1:21">
      <c r="A262">
        <v>228</v>
      </c>
      <c r="B262">
        <v>256</v>
      </c>
      <c r="C262" t="s">
        <v>307</v>
      </c>
      <c r="D262" s="391">
        <f t="shared" si="50"/>
        <v>11.052</v>
      </c>
      <c r="E262" s="390">
        <v>184.88501687768419</v>
      </c>
      <c r="F262" s="400">
        <v>26.676000000000002</v>
      </c>
      <c r="G262" s="400">
        <v>14.148000000000001</v>
      </c>
      <c r="H262" s="400">
        <v>11.052</v>
      </c>
      <c r="I262" s="400">
        <v>11.052</v>
      </c>
      <c r="J262" s="400">
        <v>11.052</v>
      </c>
      <c r="K262" s="400">
        <v>11.052</v>
      </c>
      <c r="L262" s="400">
        <f t="shared" si="51"/>
        <v>15.732000000000001</v>
      </c>
      <c r="M262" s="413">
        <f t="shared" si="52"/>
        <v>15.732000000000001</v>
      </c>
      <c r="N262" s="413">
        <f t="shared" si="53"/>
        <v>15.732000000000001</v>
      </c>
      <c r="O262" s="393">
        <f t="shared" si="54"/>
        <v>105.78050843884211</v>
      </c>
      <c r="P262" s="393">
        <f t="shared" si="55"/>
        <v>20.412000000000003</v>
      </c>
      <c r="Q262" s="393">
        <f t="shared" si="56"/>
        <v>12.600000000000001</v>
      </c>
      <c r="R262" s="393">
        <f t="shared" si="57"/>
        <v>11.052</v>
      </c>
      <c r="S262" s="393">
        <f t="shared" si="58"/>
        <v>12.222</v>
      </c>
      <c r="T262" s="393">
        <f t="shared" si="59"/>
        <v>15.732000000000001</v>
      </c>
      <c r="U262" s="413">
        <f t="shared" si="60"/>
        <v>15.732000000000001</v>
      </c>
    </row>
    <row r="263" spans="1:21">
      <c r="A263">
        <v>59</v>
      </c>
      <c r="B263">
        <v>257</v>
      </c>
      <c r="C263" t="s">
        <v>212</v>
      </c>
      <c r="D263" s="391">
        <f t="shared" ref="D263:D326" si="61">I263</f>
        <v>6.6240000000000006</v>
      </c>
      <c r="E263" s="390">
        <v>7.2520334775767124</v>
      </c>
      <c r="F263" s="400">
        <v>2.5920000000000001</v>
      </c>
      <c r="G263" s="400">
        <v>6.7320000000000002</v>
      </c>
      <c r="H263" s="400">
        <v>6.6240000000000006</v>
      </c>
      <c r="I263" s="400">
        <v>6.6240000000000006</v>
      </c>
      <c r="J263" s="400">
        <v>6.6240000000000006</v>
      </c>
      <c r="K263" s="400">
        <v>6.6240000000000006</v>
      </c>
      <c r="L263" s="400">
        <f t="shared" ref="L263:L326" si="62">AVERAGE(F263:I263)</f>
        <v>5.6430000000000007</v>
      </c>
      <c r="M263" s="413">
        <f t="shared" ref="M263:M326" si="63">L263</f>
        <v>5.6430000000000007</v>
      </c>
      <c r="N263" s="413">
        <f t="shared" ref="N263:N326" si="64">L263</f>
        <v>5.6430000000000007</v>
      </c>
      <c r="O263" s="393">
        <f t="shared" ref="O263:O326" si="65">AVERAGE(E263:F263)</f>
        <v>4.922016738788356</v>
      </c>
      <c r="P263" s="393">
        <f t="shared" ref="P263:P326" si="66">AVERAGE(F263:G263)</f>
        <v>4.6619999999999999</v>
      </c>
      <c r="Q263" s="393">
        <f t="shared" ref="Q263:Q326" si="67">AVERAGE(G263:H263)</f>
        <v>6.6780000000000008</v>
      </c>
      <c r="R263" s="393">
        <f t="shared" ref="R263:R326" si="68">AVERAGE(H263:I263)</f>
        <v>6.6240000000000006</v>
      </c>
      <c r="S263" s="393">
        <f t="shared" ref="S263:S326" si="69">AVERAGE(I263:L263)</f>
        <v>6.3787500000000001</v>
      </c>
      <c r="T263" s="393">
        <f t="shared" si="59"/>
        <v>5.6430000000000007</v>
      </c>
      <c r="U263" s="413">
        <f t="shared" si="60"/>
        <v>5.6430000000000007</v>
      </c>
    </row>
    <row r="264" spans="1:21">
      <c r="A264">
        <v>310</v>
      </c>
      <c r="B264">
        <v>258</v>
      </c>
      <c r="C264" t="s">
        <v>308</v>
      </c>
      <c r="D264" s="391">
        <f t="shared" si="61"/>
        <v>22.752000000000002</v>
      </c>
      <c r="E264" s="390">
        <v>15.899555629125706</v>
      </c>
      <c r="F264" s="400">
        <v>15.228000000000002</v>
      </c>
      <c r="G264" s="400">
        <v>15.3</v>
      </c>
      <c r="H264" s="400">
        <v>22.752000000000002</v>
      </c>
      <c r="I264" s="400">
        <v>22.752000000000002</v>
      </c>
      <c r="J264" s="400">
        <v>22.752000000000002</v>
      </c>
      <c r="K264" s="400">
        <v>22.752000000000002</v>
      </c>
      <c r="L264" s="400">
        <f t="shared" si="62"/>
        <v>19.008000000000003</v>
      </c>
      <c r="M264" s="413">
        <f t="shared" si="63"/>
        <v>19.008000000000003</v>
      </c>
      <c r="N264" s="413">
        <f t="shared" si="64"/>
        <v>19.008000000000003</v>
      </c>
      <c r="O264" s="393">
        <f t="shared" si="65"/>
        <v>15.563777814562854</v>
      </c>
      <c r="P264" s="393">
        <f t="shared" si="66"/>
        <v>15.264000000000001</v>
      </c>
      <c r="Q264" s="393">
        <f t="shared" si="67"/>
        <v>19.026000000000003</v>
      </c>
      <c r="R264" s="393">
        <f t="shared" si="68"/>
        <v>22.752000000000002</v>
      </c>
      <c r="S264" s="393">
        <f t="shared" si="69"/>
        <v>21.816000000000003</v>
      </c>
      <c r="T264" s="393">
        <f t="shared" ref="T264:T327" si="70">N264</f>
        <v>19.008000000000003</v>
      </c>
      <c r="U264" s="413">
        <f t="shared" ref="U264:U327" si="71">N264</f>
        <v>19.008000000000003</v>
      </c>
    </row>
    <row r="265" spans="1:21">
      <c r="A265">
        <v>434</v>
      </c>
      <c r="B265">
        <v>259</v>
      </c>
      <c r="C265" t="s">
        <v>309</v>
      </c>
      <c r="D265" s="391">
        <f t="shared" si="61"/>
        <v>9.6120000000000001</v>
      </c>
      <c r="E265" s="390">
        <v>11.371044017934397</v>
      </c>
      <c r="F265" s="400">
        <v>7.8480000000000008</v>
      </c>
      <c r="G265" s="400">
        <v>5.1120000000000001</v>
      </c>
      <c r="H265" s="400">
        <v>9.6120000000000001</v>
      </c>
      <c r="I265" s="400">
        <v>9.6120000000000001</v>
      </c>
      <c r="J265" s="400">
        <v>9.6120000000000001</v>
      </c>
      <c r="K265" s="400">
        <v>9.6120000000000001</v>
      </c>
      <c r="L265" s="400">
        <f t="shared" si="62"/>
        <v>8.0460000000000012</v>
      </c>
      <c r="M265" s="413">
        <f t="shared" si="63"/>
        <v>8.0460000000000012</v>
      </c>
      <c r="N265" s="413">
        <f t="shared" si="64"/>
        <v>8.0460000000000012</v>
      </c>
      <c r="O265" s="393">
        <f t="shared" si="65"/>
        <v>9.6095220089671987</v>
      </c>
      <c r="P265" s="393">
        <f t="shared" si="66"/>
        <v>6.48</v>
      </c>
      <c r="Q265" s="393">
        <f t="shared" si="67"/>
        <v>7.3620000000000001</v>
      </c>
      <c r="R265" s="393">
        <f t="shared" si="68"/>
        <v>9.6120000000000001</v>
      </c>
      <c r="S265" s="393">
        <f t="shared" si="69"/>
        <v>9.2204999999999995</v>
      </c>
      <c r="T265" s="393">
        <f t="shared" si="70"/>
        <v>8.0460000000000012</v>
      </c>
      <c r="U265" s="413">
        <f t="shared" si="71"/>
        <v>8.0460000000000012</v>
      </c>
    </row>
    <row r="266" spans="1:21">
      <c r="A266">
        <v>455</v>
      </c>
      <c r="B266">
        <v>260</v>
      </c>
      <c r="C266" t="s">
        <v>310</v>
      </c>
      <c r="D266" s="391">
        <f t="shared" si="61"/>
        <v>25.416</v>
      </c>
      <c r="E266" s="390">
        <v>15.673172864782275</v>
      </c>
      <c r="F266" s="400">
        <v>15.012</v>
      </c>
      <c r="G266" s="400">
        <v>18.396000000000001</v>
      </c>
      <c r="H266" s="400">
        <v>25.416</v>
      </c>
      <c r="I266" s="400">
        <v>25.416</v>
      </c>
      <c r="J266" s="400">
        <v>25.416</v>
      </c>
      <c r="K266" s="400">
        <v>25.416</v>
      </c>
      <c r="L266" s="400">
        <f t="shared" si="62"/>
        <v>21.06</v>
      </c>
      <c r="M266" s="413">
        <f t="shared" si="63"/>
        <v>21.06</v>
      </c>
      <c r="N266" s="413">
        <f t="shared" si="64"/>
        <v>21.06</v>
      </c>
      <c r="O266" s="393">
        <f t="shared" si="65"/>
        <v>15.342586432391137</v>
      </c>
      <c r="P266" s="393">
        <f t="shared" si="66"/>
        <v>16.704000000000001</v>
      </c>
      <c r="Q266" s="393">
        <f t="shared" si="67"/>
        <v>21.905999999999999</v>
      </c>
      <c r="R266" s="393">
        <f t="shared" si="68"/>
        <v>25.416</v>
      </c>
      <c r="S266" s="393">
        <f t="shared" si="69"/>
        <v>24.327000000000002</v>
      </c>
      <c r="T266" s="393">
        <f t="shared" si="70"/>
        <v>21.06</v>
      </c>
      <c r="U266" s="413">
        <f t="shared" si="71"/>
        <v>21.06</v>
      </c>
    </row>
    <row r="267" spans="1:21">
      <c r="A267">
        <v>134</v>
      </c>
      <c r="B267">
        <v>261</v>
      </c>
      <c r="C267" t="s">
        <v>311</v>
      </c>
      <c r="D267" s="391">
        <f t="shared" si="61"/>
        <v>0</v>
      </c>
      <c r="E267" s="390">
        <v>1.0436901498246733</v>
      </c>
      <c r="F267" s="400">
        <v>0</v>
      </c>
      <c r="G267" s="400">
        <v>0</v>
      </c>
      <c r="H267" s="400">
        <v>0</v>
      </c>
      <c r="I267" s="400">
        <v>0</v>
      </c>
      <c r="J267" s="400">
        <v>0</v>
      </c>
      <c r="K267" s="400">
        <v>0</v>
      </c>
      <c r="L267" s="400">
        <f t="shared" si="62"/>
        <v>0</v>
      </c>
      <c r="M267" s="413">
        <f t="shared" si="63"/>
        <v>0</v>
      </c>
      <c r="N267" s="413">
        <f t="shared" si="64"/>
        <v>0</v>
      </c>
      <c r="O267" s="393">
        <f t="shared" si="65"/>
        <v>0.52184507491233667</v>
      </c>
      <c r="P267" s="393">
        <f t="shared" si="66"/>
        <v>0</v>
      </c>
      <c r="Q267" s="393">
        <f t="shared" si="67"/>
        <v>0</v>
      </c>
      <c r="R267" s="393">
        <f t="shared" si="68"/>
        <v>0</v>
      </c>
      <c r="S267" s="393">
        <f t="shared" si="69"/>
        <v>0</v>
      </c>
      <c r="T267" s="393">
        <f t="shared" si="70"/>
        <v>0</v>
      </c>
      <c r="U267" s="413">
        <f t="shared" si="71"/>
        <v>0</v>
      </c>
    </row>
    <row r="268" spans="1:21">
      <c r="A268">
        <v>226</v>
      </c>
      <c r="B268">
        <v>262</v>
      </c>
      <c r="C268" t="s">
        <v>312</v>
      </c>
      <c r="D268" s="391">
        <f t="shared" si="61"/>
        <v>54.143999999999998</v>
      </c>
      <c r="E268" s="390">
        <v>143.15402383540186</v>
      </c>
      <c r="F268" s="400">
        <v>27.864000000000001</v>
      </c>
      <c r="G268" s="400">
        <v>36.36</v>
      </c>
      <c r="H268" s="400">
        <v>54.143999999999998</v>
      </c>
      <c r="I268" s="400">
        <v>54.143999999999998</v>
      </c>
      <c r="J268" s="400">
        <v>54.143999999999998</v>
      </c>
      <c r="K268" s="400">
        <v>54.143999999999998</v>
      </c>
      <c r="L268" s="400">
        <f t="shared" si="62"/>
        <v>43.128</v>
      </c>
      <c r="M268" s="413">
        <f t="shared" si="63"/>
        <v>43.128</v>
      </c>
      <c r="N268" s="413">
        <f t="shared" si="64"/>
        <v>43.128</v>
      </c>
      <c r="O268" s="393">
        <f t="shared" si="65"/>
        <v>85.509011917700931</v>
      </c>
      <c r="P268" s="393">
        <f t="shared" si="66"/>
        <v>32.112000000000002</v>
      </c>
      <c r="Q268" s="393">
        <f t="shared" si="67"/>
        <v>45.251999999999995</v>
      </c>
      <c r="R268" s="393">
        <f t="shared" si="68"/>
        <v>54.143999999999998</v>
      </c>
      <c r="S268" s="393">
        <f t="shared" si="69"/>
        <v>51.39</v>
      </c>
      <c r="T268" s="393">
        <f t="shared" si="70"/>
        <v>43.128</v>
      </c>
      <c r="U268" s="413">
        <f t="shared" si="71"/>
        <v>43.128</v>
      </c>
    </row>
    <row r="269" spans="1:21">
      <c r="A269">
        <v>170</v>
      </c>
      <c r="B269">
        <v>263</v>
      </c>
      <c r="C269" t="s">
        <v>313</v>
      </c>
      <c r="D269" s="391">
        <f t="shared" si="61"/>
        <v>0.9</v>
      </c>
      <c r="E269" s="390">
        <v>1.1919661317318104</v>
      </c>
      <c r="F269" s="400">
        <v>2.4120000000000004</v>
      </c>
      <c r="G269" s="400">
        <v>0.86399999999999999</v>
      </c>
      <c r="H269" s="400">
        <v>0.9</v>
      </c>
      <c r="I269" s="400">
        <v>0.9</v>
      </c>
      <c r="J269" s="400">
        <v>0.9</v>
      </c>
      <c r="K269" s="400">
        <v>0.9</v>
      </c>
      <c r="L269" s="400">
        <f t="shared" si="62"/>
        <v>1.2690000000000001</v>
      </c>
      <c r="M269" s="413">
        <f t="shared" si="63"/>
        <v>1.2690000000000001</v>
      </c>
      <c r="N269" s="413">
        <f t="shared" si="64"/>
        <v>1.2690000000000001</v>
      </c>
      <c r="O269" s="393">
        <f t="shared" si="65"/>
        <v>1.8019830658659055</v>
      </c>
      <c r="P269" s="393">
        <f t="shared" si="66"/>
        <v>1.6380000000000001</v>
      </c>
      <c r="Q269" s="393">
        <f t="shared" si="67"/>
        <v>0.88200000000000001</v>
      </c>
      <c r="R269" s="393">
        <f t="shared" si="68"/>
        <v>0.9</v>
      </c>
      <c r="S269" s="393">
        <f t="shared" si="69"/>
        <v>0.99225000000000008</v>
      </c>
      <c r="T269" s="393">
        <f t="shared" si="70"/>
        <v>1.2690000000000001</v>
      </c>
      <c r="U269" s="413">
        <f t="shared" si="71"/>
        <v>1.2690000000000001</v>
      </c>
    </row>
    <row r="270" spans="1:21">
      <c r="A270">
        <v>315</v>
      </c>
      <c r="B270">
        <v>264</v>
      </c>
      <c r="C270" t="s">
        <v>314</v>
      </c>
      <c r="D270" s="391">
        <f t="shared" si="61"/>
        <v>11.304</v>
      </c>
      <c r="E270" s="390">
        <v>4.2273946833069367</v>
      </c>
      <c r="F270" s="400">
        <v>8.2080000000000002</v>
      </c>
      <c r="G270" s="400">
        <v>6.1920000000000002</v>
      </c>
      <c r="H270" s="400">
        <v>11.304</v>
      </c>
      <c r="I270" s="400">
        <v>11.304</v>
      </c>
      <c r="J270" s="400">
        <v>11.304</v>
      </c>
      <c r="K270" s="400">
        <v>11.304</v>
      </c>
      <c r="L270" s="400">
        <f t="shared" si="62"/>
        <v>9.2520000000000007</v>
      </c>
      <c r="M270" s="413">
        <f t="shared" si="63"/>
        <v>9.2520000000000007</v>
      </c>
      <c r="N270" s="413">
        <f t="shared" si="64"/>
        <v>9.2520000000000007</v>
      </c>
      <c r="O270" s="393">
        <f t="shared" si="65"/>
        <v>6.2176973416534684</v>
      </c>
      <c r="P270" s="393">
        <f t="shared" si="66"/>
        <v>7.2</v>
      </c>
      <c r="Q270" s="393">
        <f t="shared" si="67"/>
        <v>8.7480000000000011</v>
      </c>
      <c r="R270" s="393">
        <f t="shared" si="68"/>
        <v>11.304</v>
      </c>
      <c r="S270" s="393">
        <f t="shared" si="69"/>
        <v>10.791</v>
      </c>
      <c r="T270" s="393">
        <f t="shared" si="70"/>
        <v>9.2520000000000007</v>
      </c>
      <c r="U270" s="413">
        <f t="shared" si="71"/>
        <v>9.2520000000000007</v>
      </c>
    </row>
    <row r="271" spans="1:21">
      <c r="A271">
        <v>169</v>
      </c>
      <c r="B271">
        <v>265</v>
      </c>
      <c r="C271" t="s">
        <v>315</v>
      </c>
      <c r="D271" s="391">
        <f t="shared" si="61"/>
        <v>96.408000000000001</v>
      </c>
      <c r="E271" s="390">
        <v>140.06226581834136</v>
      </c>
      <c r="F271" s="400">
        <v>132.26400000000001</v>
      </c>
      <c r="G271" s="400">
        <v>119.52000000000001</v>
      </c>
      <c r="H271" s="400">
        <v>96.408000000000001</v>
      </c>
      <c r="I271" s="400">
        <v>96.408000000000001</v>
      </c>
      <c r="J271" s="400">
        <v>96.408000000000001</v>
      </c>
      <c r="K271" s="400">
        <v>96.408000000000001</v>
      </c>
      <c r="L271" s="400">
        <f t="shared" si="62"/>
        <v>111.15</v>
      </c>
      <c r="M271" s="413">
        <f t="shared" si="63"/>
        <v>111.15</v>
      </c>
      <c r="N271" s="413">
        <f t="shared" si="64"/>
        <v>111.15</v>
      </c>
      <c r="O271" s="393">
        <f t="shared" si="65"/>
        <v>136.16313290917068</v>
      </c>
      <c r="P271" s="393">
        <f t="shared" si="66"/>
        <v>125.89200000000001</v>
      </c>
      <c r="Q271" s="393">
        <f t="shared" si="67"/>
        <v>107.964</v>
      </c>
      <c r="R271" s="393">
        <f t="shared" si="68"/>
        <v>96.408000000000001</v>
      </c>
      <c r="S271" s="393">
        <f t="shared" si="69"/>
        <v>100.09350000000001</v>
      </c>
      <c r="T271" s="393">
        <f t="shared" si="70"/>
        <v>111.15</v>
      </c>
      <c r="U271" s="413">
        <f t="shared" si="71"/>
        <v>111.15</v>
      </c>
    </row>
    <row r="272" spans="1:21">
      <c r="A272">
        <v>317</v>
      </c>
      <c r="B272">
        <v>266</v>
      </c>
      <c r="C272" t="s">
        <v>316</v>
      </c>
      <c r="D272" s="391">
        <f t="shared" si="61"/>
        <v>30.131999999999998</v>
      </c>
      <c r="E272" s="390">
        <v>39.192630515189187</v>
      </c>
      <c r="F272" s="400">
        <v>40.212000000000003</v>
      </c>
      <c r="G272" s="400">
        <v>31.86</v>
      </c>
      <c r="H272" s="400">
        <v>30.131999999999998</v>
      </c>
      <c r="I272" s="400">
        <v>30.131999999999998</v>
      </c>
      <c r="J272" s="400">
        <v>30.131999999999998</v>
      </c>
      <c r="K272" s="400">
        <v>30.131999999999998</v>
      </c>
      <c r="L272" s="400">
        <f t="shared" si="62"/>
        <v>33.084000000000003</v>
      </c>
      <c r="M272" s="413">
        <f t="shared" si="63"/>
        <v>33.084000000000003</v>
      </c>
      <c r="N272" s="413">
        <f t="shared" si="64"/>
        <v>33.084000000000003</v>
      </c>
      <c r="O272" s="393">
        <f t="shared" si="65"/>
        <v>39.702315257594591</v>
      </c>
      <c r="P272" s="393">
        <f t="shared" si="66"/>
        <v>36.036000000000001</v>
      </c>
      <c r="Q272" s="393">
        <f t="shared" si="67"/>
        <v>30.995999999999999</v>
      </c>
      <c r="R272" s="393">
        <f t="shared" si="68"/>
        <v>30.131999999999998</v>
      </c>
      <c r="S272" s="393">
        <f t="shared" si="69"/>
        <v>30.869999999999997</v>
      </c>
      <c r="T272" s="393">
        <f t="shared" si="70"/>
        <v>33.084000000000003</v>
      </c>
      <c r="U272" s="413">
        <f t="shared" si="71"/>
        <v>33.084000000000003</v>
      </c>
    </row>
    <row r="273" spans="1:21">
      <c r="A273">
        <v>249</v>
      </c>
      <c r="B273">
        <v>267</v>
      </c>
      <c r="C273" t="s">
        <v>24</v>
      </c>
      <c r="D273" s="391">
        <f t="shared" si="61"/>
        <v>53.1</v>
      </c>
      <c r="E273" s="390">
        <v>196.10116023470243</v>
      </c>
      <c r="F273" s="400">
        <v>176.00400000000002</v>
      </c>
      <c r="G273" s="400">
        <v>77.616</v>
      </c>
      <c r="H273" s="400">
        <v>53.1</v>
      </c>
      <c r="I273" s="400">
        <v>53.1</v>
      </c>
      <c r="J273" s="400">
        <v>53.1</v>
      </c>
      <c r="K273" s="400">
        <v>53.1</v>
      </c>
      <c r="L273" s="400">
        <f t="shared" si="62"/>
        <v>89.955000000000013</v>
      </c>
      <c r="M273" s="413">
        <f t="shared" si="63"/>
        <v>89.955000000000013</v>
      </c>
      <c r="N273" s="413">
        <f t="shared" si="64"/>
        <v>89.955000000000013</v>
      </c>
      <c r="O273" s="393">
        <f t="shared" si="65"/>
        <v>186.05258011735123</v>
      </c>
      <c r="P273" s="393">
        <f t="shared" si="66"/>
        <v>126.81</v>
      </c>
      <c r="Q273" s="393">
        <f t="shared" si="67"/>
        <v>65.358000000000004</v>
      </c>
      <c r="R273" s="393">
        <f t="shared" si="68"/>
        <v>53.1</v>
      </c>
      <c r="S273" s="393">
        <f t="shared" si="69"/>
        <v>62.313750000000006</v>
      </c>
      <c r="T273" s="393">
        <f t="shared" si="70"/>
        <v>89.955000000000013</v>
      </c>
      <c r="U273" s="413">
        <f t="shared" si="71"/>
        <v>89.955000000000013</v>
      </c>
    </row>
    <row r="274" spans="1:21">
      <c r="A274">
        <v>341</v>
      </c>
      <c r="B274">
        <v>268</v>
      </c>
      <c r="C274" t="s">
        <v>530</v>
      </c>
      <c r="D274" s="391">
        <f t="shared" si="61"/>
        <v>102.42</v>
      </c>
      <c r="E274" s="390">
        <v>102.6</v>
      </c>
      <c r="F274" s="400">
        <v>102.42</v>
      </c>
      <c r="G274" s="400">
        <v>102.42</v>
      </c>
      <c r="H274" s="400">
        <v>102.42</v>
      </c>
      <c r="I274" s="400">
        <v>102.42</v>
      </c>
      <c r="J274" s="400">
        <v>102.42</v>
      </c>
      <c r="K274" s="400">
        <v>102.42</v>
      </c>
      <c r="L274" s="400">
        <f t="shared" si="62"/>
        <v>102.42</v>
      </c>
      <c r="M274" s="413">
        <f t="shared" si="63"/>
        <v>102.42</v>
      </c>
      <c r="N274" s="413">
        <f t="shared" si="64"/>
        <v>102.42</v>
      </c>
      <c r="O274" s="393">
        <f t="shared" si="65"/>
        <v>102.50999999999999</v>
      </c>
      <c r="P274" s="393">
        <f t="shared" si="66"/>
        <v>102.42</v>
      </c>
      <c r="Q274" s="393">
        <f t="shared" si="67"/>
        <v>102.42</v>
      </c>
      <c r="R274" s="393">
        <f t="shared" si="68"/>
        <v>102.42</v>
      </c>
      <c r="S274" s="393">
        <f t="shared" si="69"/>
        <v>102.42</v>
      </c>
      <c r="T274" s="393">
        <f t="shared" si="70"/>
        <v>102.42</v>
      </c>
      <c r="U274" s="413">
        <f t="shared" si="71"/>
        <v>102.42</v>
      </c>
    </row>
    <row r="275" spans="1:21">
      <c r="A275">
        <v>254</v>
      </c>
      <c r="B275">
        <v>269</v>
      </c>
      <c r="C275" t="s">
        <v>25</v>
      </c>
      <c r="D275" s="391">
        <f t="shared" si="61"/>
        <v>93.24</v>
      </c>
      <c r="E275" s="390">
        <v>181.63449463666913</v>
      </c>
      <c r="F275" s="400">
        <v>148.21200000000002</v>
      </c>
      <c r="G275" s="400">
        <v>126.57599999999999</v>
      </c>
      <c r="H275" s="400">
        <v>93.24</v>
      </c>
      <c r="I275" s="400">
        <v>93.24</v>
      </c>
      <c r="J275" s="400">
        <v>93.24</v>
      </c>
      <c r="K275" s="400">
        <v>93.24</v>
      </c>
      <c r="L275" s="400">
        <f t="shared" si="62"/>
        <v>115.31700000000001</v>
      </c>
      <c r="M275" s="413">
        <f t="shared" si="63"/>
        <v>115.31700000000001</v>
      </c>
      <c r="N275" s="413">
        <f t="shared" si="64"/>
        <v>115.31700000000001</v>
      </c>
      <c r="O275" s="393">
        <f t="shared" si="65"/>
        <v>164.92324731833457</v>
      </c>
      <c r="P275" s="393">
        <f t="shared" si="66"/>
        <v>137.39400000000001</v>
      </c>
      <c r="Q275" s="393">
        <f t="shared" si="67"/>
        <v>109.90799999999999</v>
      </c>
      <c r="R275" s="393">
        <f t="shared" si="68"/>
        <v>93.24</v>
      </c>
      <c r="S275" s="393">
        <f t="shared" si="69"/>
        <v>98.759249999999994</v>
      </c>
      <c r="T275" s="393">
        <f t="shared" si="70"/>
        <v>115.31700000000001</v>
      </c>
      <c r="U275" s="413">
        <f t="shared" si="71"/>
        <v>115.31700000000001</v>
      </c>
    </row>
    <row r="276" spans="1:21">
      <c r="A276">
        <v>183</v>
      </c>
      <c r="B276">
        <v>270</v>
      </c>
      <c r="C276" t="s">
        <v>317</v>
      </c>
      <c r="D276" s="391">
        <f t="shared" si="61"/>
        <v>44.712000000000003</v>
      </c>
      <c r="E276" s="390">
        <v>99.550280428264855</v>
      </c>
      <c r="F276" s="400">
        <v>97.272000000000006</v>
      </c>
      <c r="G276" s="400">
        <v>57.923999999999999</v>
      </c>
      <c r="H276" s="400">
        <v>44.712000000000003</v>
      </c>
      <c r="I276" s="400">
        <v>44.712000000000003</v>
      </c>
      <c r="J276" s="400">
        <v>44.712000000000003</v>
      </c>
      <c r="K276" s="400">
        <v>44.712000000000003</v>
      </c>
      <c r="L276" s="400">
        <f t="shared" si="62"/>
        <v>61.155000000000001</v>
      </c>
      <c r="M276" s="413">
        <f t="shared" si="63"/>
        <v>61.155000000000001</v>
      </c>
      <c r="N276" s="413">
        <f t="shared" si="64"/>
        <v>61.155000000000001</v>
      </c>
      <c r="O276" s="393">
        <f t="shared" si="65"/>
        <v>98.411140214132431</v>
      </c>
      <c r="P276" s="393">
        <f t="shared" si="66"/>
        <v>77.597999999999999</v>
      </c>
      <c r="Q276" s="393">
        <f t="shared" si="67"/>
        <v>51.317999999999998</v>
      </c>
      <c r="R276" s="393">
        <f t="shared" si="68"/>
        <v>44.712000000000003</v>
      </c>
      <c r="S276" s="393">
        <f t="shared" si="69"/>
        <v>48.822750000000006</v>
      </c>
      <c r="T276" s="393">
        <f t="shared" si="70"/>
        <v>61.155000000000001</v>
      </c>
      <c r="U276" s="413">
        <f t="shared" si="71"/>
        <v>61.155000000000001</v>
      </c>
    </row>
    <row r="277" spans="1:21">
      <c r="A277">
        <v>138</v>
      </c>
      <c r="B277">
        <v>271</v>
      </c>
      <c r="C277" t="s">
        <v>318</v>
      </c>
      <c r="D277" s="391">
        <f t="shared" si="61"/>
        <v>21.96</v>
      </c>
      <c r="E277" s="390">
        <v>50.90668055736424</v>
      </c>
      <c r="F277" s="400">
        <v>60.12</v>
      </c>
      <c r="G277" s="400">
        <v>36.504000000000005</v>
      </c>
      <c r="H277" s="400">
        <v>21.96</v>
      </c>
      <c r="I277" s="400">
        <v>21.96</v>
      </c>
      <c r="J277" s="400">
        <v>21.96</v>
      </c>
      <c r="K277" s="400">
        <v>21.96</v>
      </c>
      <c r="L277" s="400">
        <f t="shared" si="62"/>
        <v>35.136000000000003</v>
      </c>
      <c r="M277" s="413">
        <f t="shared" si="63"/>
        <v>35.136000000000003</v>
      </c>
      <c r="N277" s="413">
        <f t="shared" si="64"/>
        <v>35.136000000000003</v>
      </c>
      <c r="O277" s="393">
        <f t="shared" si="65"/>
        <v>55.513340278682122</v>
      </c>
      <c r="P277" s="393">
        <f t="shared" si="66"/>
        <v>48.311999999999998</v>
      </c>
      <c r="Q277" s="393">
        <f t="shared" si="67"/>
        <v>29.232000000000003</v>
      </c>
      <c r="R277" s="393">
        <f t="shared" si="68"/>
        <v>21.96</v>
      </c>
      <c r="S277" s="393">
        <f t="shared" si="69"/>
        <v>25.253999999999998</v>
      </c>
      <c r="T277" s="393">
        <f t="shared" si="70"/>
        <v>35.136000000000003</v>
      </c>
      <c r="U277" s="413">
        <f t="shared" si="71"/>
        <v>35.136000000000003</v>
      </c>
    </row>
    <row r="278" spans="1:21">
      <c r="A278">
        <v>274</v>
      </c>
      <c r="B278">
        <v>272</v>
      </c>
      <c r="C278" t="s">
        <v>384</v>
      </c>
      <c r="D278" s="391">
        <f t="shared" si="61"/>
        <v>3.6000000000000004E-2</v>
      </c>
      <c r="E278" s="390">
        <v>0</v>
      </c>
      <c r="F278" s="400">
        <v>0.97200000000000009</v>
      </c>
      <c r="G278" s="400">
        <v>48.276000000000003</v>
      </c>
      <c r="H278" s="400">
        <v>3.6000000000000004E-2</v>
      </c>
      <c r="I278" s="400">
        <v>3.6000000000000004E-2</v>
      </c>
      <c r="J278" s="400">
        <v>3.6000000000000004E-2</v>
      </c>
      <c r="K278" s="400">
        <v>3.6000000000000004E-2</v>
      </c>
      <c r="L278" s="400">
        <f t="shared" si="62"/>
        <v>12.330000000000002</v>
      </c>
      <c r="M278" s="413">
        <f t="shared" si="63"/>
        <v>12.330000000000002</v>
      </c>
      <c r="N278" s="413">
        <f t="shared" si="64"/>
        <v>12.330000000000002</v>
      </c>
      <c r="O278" s="393">
        <f t="shared" si="65"/>
        <v>0.48600000000000004</v>
      </c>
      <c r="P278" s="393">
        <f t="shared" si="66"/>
        <v>24.624000000000002</v>
      </c>
      <c r="Q278" s="393">
        <f t="shared" si="67"/>
        <v>24.156000000000002</v>
      </c>
      <c r="R278" s="393">
        <f t="shared" si="68"/>
        <v>3.6000000000000004E-2</v>
      </c>
      <c r="S278" s="393">
        <f t="shared" si="69"/>
        <v>3.1095000000000006</v>
      </c>
      <c r="T278" s="393">
        <f t="shared" si="70"/>
        <v>12.330000000000002</v>
      </c>
      <c r="U278" s="413">
        <f t="shared" si="71"/>
        <v>12.330000000000002</v>
      </c>
    </row>
    <row r="279" spans="1:21">
      <c r="A279">
        <v>399</v>
      </c>
      <c r="B279">
        <v>273</v>
      </c>
      <c r="C279" t="s">
        <v>320</v>
      </c>
      <c r="D279" s="391">
        <f t="shared" si="61"/>
        <v>172.11600000000001</v>
      </c>
      <c r="E279" s="390">
        <v>202.99128137448017</v>
      </c>
      <c r="F279" s="400">
        <v>201.20400000000001</v>
      </c>
      <c r="G279" s="400">
        <v>209.05199999999999</v>
      </c>
      <c r="H279" s="400">
        <v>172.11600000000001</v>
      </c>
      <c r="I279" s="400">
        <v>172.11600000000001</v>
      </c>
      <c r="J279" s="400">
        <v>172.11600000000001</v>
      </c>
      <c r="K279" s="400">
        <v>172.11600000000001</v>
      </c>
      <c r="L279" s="400">
        <f t="shared" si="62"/>
        <v>188.62199999999999</v>
      </c>
      <c r="M279" s="413">
        <f t="shared" si="63"/>
        <v>188.62199999999999</v>
      </c>
      <c r="N279" s="413">
        <f t="shared" si="64"/>
        <v>188.62199999999999</v>
      </c>
      <c r="O279" s="393">
        <f t="shared" si="65"/>
        <v>202.09764068724007</v>
      </c>
      <c r="P279" s="393">
        <f t="shared" si="66"/>
        <v>205.12799999999999</v>
      </c>
      <c r="Q279" s="393">
        <f t="shared" si="67"/>
        <v>190.584</v>
      </c>
      <c r="R279" s="393">
        <f t="shared" si="68"/>
        <v>172.11600000000001</v>
      </c>
      <c r="S279" s="393">
        <f t="shared" si="69"/>
        <v>176.24250000000001</v>
      </c>
      <c r="T279" s="393">
        <f t="shared" si="70"/>
        <v>188.62199999999999</v>
      </c>
      <c r="U279" s="413">
        <f t="shared" si="71"/>
        <v>188.62199999999999</v>
      </c>
    </row>
    <row r="280" spans="1:21">
      <c r="A280">
        <v>113</v>
      </c>
      <c r="B280">
        <v>274</v>
      </c>
      <c r="C280" t="s">
        <v>321</v>
      </c>
      <c r="D280" s="391">
        <f t="shared" si="61"/>
        <v>14.508000000000001</v>
      </c>
      <c r="E280" s="390">
        <v>25.728128724672228</v>
      </c>
      <c r="F280" s="400">
        <v>3.3480000000000003</v>
      </c>
      <c r="G280" s="400">
        <v>7.7760000000000007</v>
      </c>
      <c r="H280" s="400">
        <v>14.508000000000001</v>
      </c>
      <c r="I280" s="400">
        <v>14.508000000000001</v>
      </c>
      <c r="J280" s="400">
        <v>14.508000000000001</v>
      </c>
      <c r="K280" s="400">
        <v>14.508000000000001</v>
      </c>
      <c r="L280" s="400">
        <f t="shared" si="62"/>
        <v>10.035</v>
      </c>
      <c r="M280" s="413">
        <f t="shared" si="63"/>
        <v>10.035</v>
      </c>
      <c r="N280" s="413">
        <f t="shared" si="64"/>
        <v>10.035</v>
      </c>
      <c r="O280" s="393">
        <f t="shared" si="65"/>
        <v>14.538064362336113</v>
      </c>
      <c r="P280" s="393">
        <f t="shared" si="66"/>
        <v>5.5620000000000003</v>
      </c>
      <c r="Q280" s="393">
        <f t="shared" si="67"/>
        <v>11.142000000000001</v>
      </c>
      <c r="R280" s="393">
        <f t="shared" si="68"/>
        <v>14.508000000000001</v>
      </c>
      <c r="S280" s="393">
        <f t="shared" si="69"/>
        <v>13.389749999999999</v>
      </c>
      <c r="T280" s="393">
        <f t="shared" si="70"/>
        <v>10.035</v>
      </c>
      <c r="U280" s="413">
        <f t="shared" si="71"/>
        <v>10.035</v>
      </c>
    </row>
    <row r="281" spans="1:21">
      <c r="A281">
        <v>318</v>
      </c>
      <c r="B281">
        <v>275</v>
      </c>
      <c r="C281" t="s">
        <v>322</v>
      </c>
      <c r="D281" s="391">
        <f t="shared" si="61"/>
        <v>0</v>
      </c>
      <c r="E281" s="390">
        <v>0</v>
      </c>
      <c r="F281" s="400">
        <v>0</v>
      </c>
      <c r="G281" s="400">
        <v>0</v>
      </c>
      <c r="H281" s="400">
        <v>0</v>
      </c>
      <c r="I281" s="400">
        <v>0</v>
      </c>
      <c r="J281" s="400">
        <v>0</v>
      </c>
      <c r="K281" s="400">
        <v>0</v>
      </c>
      <c r="L281" s="400">
        <f t="shared" si="62"/>
        <v>0</v>
      </c>
      <c r="M281" s="413">
        <f t="shared" si="63"/>
        <v>0</v>
      </c>
      <c r="N281" s="413">
        <f t="shared" si="64"/>
        <v>0</v>
      </c>
      <c r="O281" s="393">
        <f t="shared" si="65"/>
        <v>0</v>
      </c>
      <c r="P281" s="393">
        <f t="shared" si="66"/>
        <v>0</v>
      </c>
      <c r="Q281" s="393">
        <f t="shared" si="67"/>
        <v>0</v>
      </c>
      <c r="R281" s="393">
        <f t="shared" si="68"/>
        <v>0</v>
      </c>
      <c r="S281" s="393">
        <f t="shared" si="69"/>
        <v>0</v>
      </c>
      <c r="T281" s="393">
        <f t="shared" si="70"/>
        <v>0</v>
      </c>
      <c r="U281" s="413">
        <f t="shared" si="71"/>
        <v>0</v>
      </c>
    </row>
    <row r="282" spans="1:21">
      <c r="A282">
        <v>88</v>
      </c>
      <c r="B282">
        <v>276</v>
      </c>
      <c r="C282" t="s">
        <v>176</v>
      </c>
      <c r="D282" s="391">
        <f t="shared" si="61"/>
        <v>69.12</v>
      </c>
      <c r="E282" s="390">
        <v>198.45868365752796</v>
      </c>
      <c r="F282" s="400">
        <v>171.828</v>
      </c>
      <c r="G282" s="400">
        <v>87.48</v>
      </c>
      <c r="H282" s="400">
        <v>69.12</v>
      </c>
      <c r="I282" s="400">
        <v>69.12</v>
      </c>
      <c r="J282" s="400">
        <v>69.12</v>
      </c>
      <c r="K282" s="400">
        <v>69.12</v>
      </c>
      <c r="L282" s="400">
        <f t="shared" si="62"/>
        <v>99.387</v>
      </c>
      <c r="M282" s="413">
        <f t="shared" si="63"/>
        <v>99.387</v>
      </c>
      <c r="N282" s="413">
        <f t="shared" si="64"/>
        <v>99.387</v>
      </c>
      <c r="O282" s="393">
        <f t="shared" si="65"/>
        <v>185.14334182876399</v>
      </c>
      <c r="P282" s="393">
        <f t="shared" si="66"/>
        <v>129.654</v>
      </c>
      <c r="Q282" s="393">
        <f t="shared" si="67"/>
        <v>78.300000000000011</v>
      </c>
      <c r="R282" s="393">
        <f t="shared" si="68"/>
        <v>69.12</v>
      </c>
      <c r="S282" s="393">
        <f t="shared" si="69"/>
        <v>76.686750000000004</v>
      </c>
      <c r="T282" s="393">
        <f t="shared" si="70"/>
        <v>99.387</v>
      </c>
      <c r="U282" s="413">
        <f t="shared" si="71"/>
        <v>99.387</v>
      </c>
    </row>
    <row r="283" spans="1:21">
      <c r="A283">
        <v>35</v>
      </c>
      <c r="B283">
        <v>277</v>
      </c>
      <c r="C283" t="s">
        <v>323</v>
      </c>
      <c r="D283" s="391">
        <f t="shared" si="61"/>
        <v>1.9080000000000001</v>
      </c>
      <c r="E283" s="390">
        <v>23.846339778464319</v>
      </c>
      <c r="F283" s="400">
        <v>0.97200000000000009</v>
      </c>
      <c r="G283" s="400">
        <v>0.32400000000000001</v>
      </c>
      <c r="H283" s="400">
        <v>1.9080000000000001</v>
      </c>
      <c r="I283" s="400">
        <v>1.9080000000000001</v>
      </c>
      <c r="J283" s="400">
        <v>1.9080000000000001</v>
      </c>
      <c r="K283" s="400">
        <v>1.9080000000000001</v>
      </c>
      <c r="L283" s="400">
        <f t="shared" si="62"/>
        <v>1.278</v>
      </c>
      <c r="M283" s="413">
        <f t="shared" si="63"/>
        <v>1.278</v>
      </c>
      <c r="N283" s="413">
        <f t="shared" si="64"/>
        <v>1.278</v>
      </c>
      <c r="O283" s="393">
        <f t="shared" si="65"/>
        <v>12.40916988923216</v>
      </c>
      <c r="P283" s="393">
        <f t="shared" si="66"/>
        <v>0.64800000000000002</v>
      </c>
      <c r="Q283" s="393">
        <f t="shared" si="67"/>
        <v>1.1160000000000001</v>
      </c>
      <c r="R283" s="393">
        <f t="shared" si="68"/>
        <v>1.9080000000000001</v>
      </c>
      <c r="S283" s="393">
        <f t="shared" si="69"/>
        <v>1.7505000000000002</v>
      </c>
      <c r="T283" s="393">
        <f t="shared" si="70"/>
        <v>1.278</v>
      </c>
      <c r="U283" s="413">
        <f t="shared" si="71"/>
        <v>1.278</v>
      </c>
    </row>
    <row r="284" spans="1:21">
      <c r="A284">
        <v>438</v>
      </c>
      <c r="B284">
        <v>278</v>
      </c>
      <c r="C284" t="s">
        <v>16</v>
      </c>
      <c r="D284" s="391">
        <f t="shared" si="61"/>
        <v>4.7160000000000002</v>
      </c>
      <c r="E284" s="390">
        <v>3.3775967563582747</v>
      </c>
      <c r="F284" s="400">
        <v>3.024</v>
      </c>
      <c r="G284" s="400">
        <v>1.2240000000000002</v>
      </c>
      <c r="H284" s="400">
        <v>4.7160000000000002</v>
      </c>
      <c r="I284" s="400">
        <v>4.7160000000000002</v>
      </c>
      <c r="J284" s="400">
        <v>4.7160000000000002</v>
      </c>
      <c r="K284" s="400">
        <v>4.7160000000000002</v>
      </c>
      <c r="L284" s="400">
        <f t="shared" si="62"/>
        <v>3.42</v>
      </c>
      <c r="M284" s="413">
        <f t="shared" si="63"/>
        <v>3.42</v>
      </c>
      <c r="N284" s="413">
        <f t="shared" si="64"/>
        <v>3.42</v>
      </c>
      <c r="O284" s="393">
        <f t="shared" si="65"/>
        <v>3.2007983781791376</v>
      </c>
      <c r="P284" s="393">
        <f t="shared" si="66"/>
        <v>2.1240000000000001</v>
      </c>
      <c r="Q284" s="393">
        <f t="shared" si="67"/>
        <v>2.97</v>
      </c>
      <c r="R284" s="393">
        <f t="shared" si="68"/>
        <v>4.7160000000000002</v>
      </c>
      <c r="S284" s="393">
        <f t="shared" si="69"/>
        <v>4.3919999999999995</v>
      </c>
      <c r="T284" s="393">
        <f t="shared" si="70"/>
        <v>3.42</v>
      </c>
      <c r="U284" s="413">
        <f t="shared" si="71"/>
        <v>3.42</v>
      </c>
    </row>
    <row r="285" spans="1:21">
      <c r="A285">
        <v>21</v>
      </c>
      <c r="B285">
        <v>279</v>
      </c>
      <c r="C285" t="s">
        <v>324</v>
      </c>
      <c r="D285" s="391">
        <f t="shared" si="61"/>
        <v>66.924000000000007</v>
      </c>
      <c r="E285" s="390">
        <v>66.856512912781412</v>
      </c>
      <c r="F285" s="400">
        <v>91.908000000000001</v>
      </c>
      <c r="G285" s="400">
        <v>88.236000000000004</v>
      </c>
      <c r="H285" s="400">
        <v>66.924000000000007</v>
      </c>
      <c r="I285" s="400">
        <v>66.924000000000007</v>
      </c>
      <c r="J285" s="400">
        <v>66.924000000000007</v>
      </c>
      <c r="K285" s="400">
        <v>66.924000000000007</v>
      </c>
      <c r="L285" s="400">
        <f t="shared" si="62"/>
        <v>78.498000000000005</v>
      </c>
      <c r="M285" s="413">
        <f t="shared" si="63"/>
        <v>78.498000000000005</v>
      </c>
      <c r="N285" s="413">
        <f t="shared" si="64"/>
        <v>78.498000000000005</v>
      </c>
      <c r="O285" s="393">
        <f t="shared" si="65"/>
        <v>79.382256456390706</v>
      </c>
      <c r="P285" s="393">
        <f t="shared" si="66"/>
        <v>90.072000000000003</v>
      </c>
      <c r="Q285" s="393">
        <f t="shared" si="67"/>
        <v>77.580000000000013</v>
      </c>
      <c r="R285" s="393">
        <f t="shared" si="68"/>
        <v>66.924000000000007</v>
      </c>
      <c r="S285" s="393">
        <f t="shared" si="69"/>
        <v>69.81750000000001</v>
      </c>
      <c r="T285" s="393">
        <f t="shared" si="70"/>
        <v>78.498000000000005</v>
      </c>
      <c r="U285" s="413">
        <f t="shared" si="71"/>
        <v>78.498000000000005</v>
      </c>
    </row>
    <row r="286" spans="1:21">
      <c r="A286">
        <v>4</v>
      </c>
      <c r="B286">
        <v>280</v>
      </c>
      <c r="C286" t="s">
        <v>325</v>
      </c>
      <c r="D286" s="391">
        <f t="shared" si="61"/>
        <v>0</v>
      </c>
      <c r="E286" s="390">
        <v>0</v>
      </c>
      <c r="F286" s="400">
        <v>0</v>
      </c>
      <c r="G286" s="400">
        <v>0</v>
      </c>
      <c r="H286" s="400">
        <v>0</v>
      </c>
      <c r="I286" s="400">
        <v>0</v>
      </c>
      <c r="J286" s="400">
        <v>0</v>
      </c>
      <c r="K286" s="400">
        <v>0</v>
      </c>
      <c r="L286" s="400">
        <f t="shared" si="62"/>
        <v>0</v>
      </c>
      <c r="M286" s="413">
        <f t="shared" si="63"/>
        <v>0</v>
      </c>
      <c r="N286" s="413">
        <f t="shared" si="64"/>
        <v>0</v>
      </c>
      <c r="O286" s="393">
        <f t="shared" si="65"/>
        <v>0</v>
      </c>
      <c r="P286" s="393">
        <f t="shared" si="66"/>
        <v>0</v>
      </c>
      <c r="Q286" s="393">
        <f t="shared" si="67"/>
        <v>0</v>
      </c>
      <c r="R286" s="393">
        <f t="shared" si="68"/>
        <v>0</v>
      </c>
      <c r="S286" s="393">
        <f t="shared" si="69"/>
        <v>0</v>
      </c>
      <c r="T286" s="393">
        <f t="shared" si="70"/>
        <v>0</v>
      </c>
      <c r="U286" s="413">
        <f t="shared" si="71"/>
        <v>0</v>
      </c>
    </row>
    <row r="287" spans="1:21">
      <c r="A287">
        <v>262</v>
      </c>
      <c r="B287">
        <v>281</v>
      </c>
      <c r="C287" t="s">
        <v>348</v>
      </c>
      <c r="D287" s="391">
        <f t="shared" si="61"/>
        <v>0.32400000000000001</v>
      </c>
      <c r="E287" s="390">
        <v>0</v>
      </c>
      <c r="F287" s="400">
        <v>0</v>
      </c>
      <c r="G287" s="400">
        <v>0</v>
      </c>
      <c r="H287" s="400">
        <v>0.32400000000000001</v>
      </c>
      <c r="I287" s="400">
        <v>0.32400000000000001</v>
      </c>
      <c r="J287" s="400">
        <v>0.32400000000000001</v>
      </c>
      <c r="K287" s="400">
        <v>0.32400000000000001</v>
      </c>
      <c r="L287" s="400">
        <f t="shared" si="62"/>
        <v>0.16200000000000001</v>
      </c>
      <c r="M287" s="413">
        <f t="shared" si="63"/>
        <v>0.16200000000000001</v>
      </c>
      <c r="N287" s="413">
        <f t="shared" si="64"/>
        <v>0.16200000000000001</v>
      </c>
      <c r="O287" s="393">
        <f t="shared" si="65"/>
        <v>0</v>
      </c>
      <c r="P287" s="393">
        <f t="shared" si="66"/>
        <v>0</v>
      </c>
      <c r="Q287" s="393">
        <f t="shared" si="67"/>
        <v>0.16200000000000001</v>
      </c>
      <c r="R287" s="393">
        <f t="shared" si="68"/>
        <v>0.32400000000000001</v>
      </c>
      <c r="S287" s="393">
        <f t="shared" si="69"/>
        <v>0.28349999999999997</v>
      </c>
      <c r="T287" s="393">
        <f t="shared" si="70"/>
        <v>0.16200000000000001</v>
      </c>
      <c r="U287" s="413">
        <f t="shared" si="71"/>
        <v>0.16200000000000001</v>
      </c>
    </row>
    <row r="288" spans="1:21">
      <c r="A288">
        <v>395</v>
      </c>
      <c r="B288">
        <v>282</v>
      </c>
      <c r="C288" t="s">
        <v>96</v>
      </c>
      <c r="D288" s="391">
        <f t="shared" si="61"/>
        <v>37.512</v>
      </c>
      <c r="E288" s="390">
        <v>69.000366305557478</v>
      </c>
      <c r="F288" s="400">
        <v>62.82</v>
      </c>
      <c r="G288" s="400">
        <v>48.564</v>
      </c>
      <c r="H288" s="400">
        <v>37.512</v>
      </c>
      <c r="I288" s="400">
        <v>37.512</v>
      </c>
      <c r="J288" s="400">
        <v>37.512</v>
      </c>
      <c r="K288" s="400">
        <v>37.512</v>
      </c>
      <c r="L288" s="400">
        <f t="shared" si="62"/>
        <v>46.602000000000004</v>
      </c>
      <c r="M288" s="413">
        <f t="shared" si="63"/>
        <v>46.602000000000004</v>
      </c>
      <c r="N288" s="413">
        <f t="shared" si="64"/>
        <v>46.602000000000004</v>
      </c>
      <c r="O288" s="393">
        <f t="shared" si="65"/>
        <v>65.910183152778743</v>
      </c>
      <c r="P288" s="393">
        <f t="shared" si="66"/>
        <v>55.692</v>
      </c>
      <c r="Q288" s="393">
        <f t="shared" si="67"/>
        <v>43.037999999999997</v>
      </c>
      <c r="R288" s="393">
        <f t="shared" si="68"/>
        <v>37.512</v>
      </c>
      <c r="S288" s="393">
        <f t="shared" si="69"/>
        <v>39.784500000000001</v>
      </c>
      <c r="T288" s="393">
        <f t="shared" si="70"/>
        <v>46.602000000000004</v>
      </c>
      <c r="U288" s="413">
        <f t="shared" si="71"/>
        <v>46.602000000000004</v>
      </c>
    </row>
    <row r="289" spans="1:21">
      <c r="A289">
        <v>230</v>
      </c>
      <c r="B289">
        <v>283</v>
      </c>
      <c r="C289" t="s">
        <v>326</v>
      </c>
      <c r="D289" s="391">
        <f t="shared" si="61"/>
        <v>32.436</v>
      </c>
      <c r="E289" s="390">
        <v>100.66512730064755</v>
      </c>
      <c r="F289" s="400">
        <v>75.600000000000009</v>
      </c>
      <c r="G289" s="400">
        <v>31.283999999999999</v>
      </c>
      <c r="H289" s="400">
        <v>32.436</v>
      </c>
      <c r="I289" s="400">
        <v>32.436</v>
      </c>
      <c r="J289" s="400">
        <v>32.436</v>
      </c>
      <c r="K289" s="400">
        <v>32.436</v>
      </c>
      <c r="L289" s="400">
        <f t="shared" si="62"/>
        <v>42.939000000000007</v>
      </c>
      <c r="M289" s="413">
        <f t="shared" si="63"/>
        <v>42.939000000000007</v>
      </c>
      <c r="N289" s="413">
        <f t="shared" si="64"/>
        <v>42.939000000000007</v>
      </c>
      <c r="O289" s="393">
        <f t="shared" si="65"/>
        <v>88.132563650323789</v>
      </c>
      <c r="P289" s="393">
        <f t="shared" si="66"/>
        <v>53.442000000000007</v>
      </c>
      <c r="Q289" s="393">
        <f t="shared" si="67"/>
        <v>31.86</v>
      </c>
      <c r="R289" s="393">
        <f t="shared" si="68"/>
        <v>32.436</v>
      </c>
      <c r="S289" s="393">
        <f t="shared" si="69"/>
        <v>35.061750000000004</v>
      </c>
      <c r="T289" s="393">
        <f t="shared" si="70"/>
        <v>42.939000000000007</v>
      </c>
      <c r="U289" s="413">
        <f t="shared" si="71"/>
        <v>42.939000000000007</v>
      </c>
    </row>
    <row r="290" spans="1:21">
      <c r="A290">
        <v>36</v>
      </c>
      <c r="B290">
        <v>284</v>
      </c>
      <c r="C290" t="s">
        <v>532</v>
      </c>
      <c r="D290" s="391">
        <f t="shared" si="61"/>
        <v>0</v>
      </c>
      <c r="E290" s="390">
        <v>0</v>
      </c>
      <c r="F290" s="400">
        <v>0.36000000000000004</v>
      </c>
      <c r="G290" s="400">
        <v>0</v>
      </c>
      <c r="H290" s="400">
        <v>0</v>
      </c>
      <c r="I290" s="400">
        <v>0</v>
      </c>
      <c r="J290" s="400">
        <v>0</v>
      </c>
      <c r="K290" s="400">
        <v>0</v>
      </c>
      <c r="L290" s="400">
        <f t="shared" si="62"/>
        <v>9.0000000000000011E-2</v>
      </c>
      <c r="M290" s="413">
        <f t="shared" si="63"/>
        <v>9.0000000000000011E-2</v>
      </c>
      <c r="N290" s="413">
        <f t="shared" si="64"/>
        <v>9.0000000000000011E-2</v>
      </c>
      <c r="O290" s="393">
        <f t="shared" si="65"/>
        <v>0.18000000000000002</v>
      </c>
      <c r="P290" s="393">
        <f t="shared" si="66"/>
        <v>0.18000000000000002</v>
      </c>
      <c r="Q290" s="393">
        <f t="shared" si="67"/>
        <v>0</v>
      </c>
      <c r="R290" s="393">
        <f t="shared" si="68"/>
        <v>0</v>
      </c>
      <c r="S290" s="393">
        <f t="shared" si="69"/>
        <v>2.2500000000000003E-2</v>
      </c>
      <c r="T290" s="393">
        <f t="shared" si="70"/>
        <v>9.0000000000000011E-2</v>
      </c>
      <c r="U290" s="413">
        <f t="shared" si="71"/>
        <v>9.0000000000000011E-2</v>
      </c>
    </row>
    <row r="291" spans="1:21">
      <c r="A291">
        <v>191</v>
      </c>
      <c r="B291">
        <v>285</v>
      </c>
      <c r="C291" t="s">
        <v>327</v>
      </c>
      <c r="D291" s="391">
        <f t="shared" si="61"/>
        <v>0.68400000000000005</v>
      </c>
      <c r="E291" s="390">
        <v>1.6109196086034037E-2</v>
      </c>
      <c r="F291" s="400">
        <v>0</v>
      </c>
      <c r="G291" s="400">
        <v>0.97200000000000009</v>
      </c>
      <c r="H291" s="400">
        <v>0.68400000000000005</v>
      </c>
      <c r="I291" s="400">
        <v>0.68400000000000005</v>
      </c>
      <c r="J291" s="400">
        <v>0.68400000000000005</v>
      </c>
      <c r="K291" s="400">
        <v>0.68400000000000005</v>
      </c>
      <c r="L291" s="400">
        <f t="shared" si="62"/>
        <v>0.58500000000000008</v>
      </c>
      <c r="M291" s="413">
        <f t="shared" si="63"/>
        <v>0.58500000000000008</v>
      </c>
      <c r="N291" s="413">
        <f t="shared" si="64"/>
        <v>0.58500000000000008</v>
      </c>
      <c r="O291" s="393">
        <f t="shared" si="65"/>
        <v>8.0545980430170184E-3</v>
      </c>
      <c r="P291" s="393">
        <f t="shared" si="66"/>
        <v>0.48600000000000004</v>
      </c>
      <c r="Q291" s="393">
        <f t="shared" si="67"/>
        <v>0.82800000000000007</v>
      </c>
      <c r="R291" s="393">
        <f t="shared" si="68"/>
        <v>0.68400000000000005</v>
      </c>
      <c r="S291" s="393">
        <f t="shared" si="69"/>
        <v>0.65925</v>
      </c>
      <c r="T291" s="393">
        <f t="shared" si="70"/>
        <v>0.58500000000000008</v>
      </c>
      <c r="U291" s="413">
        <f t="shared" si="71"/>
        <v>0.58500000000000008</v>
      </c>
    </row>
    <row r="292" spans="1:21">
      <c r="A292">
        <v>49</v>
      </c>
      <c r="B292">
        <v>286</v>
      </c>
      <c r="C292" t="s">
        <v>533</v>
      </c>
      <c r="D292" s="391">
        <f t="shared" si="61"/>
        <v>0</v>
      </c>
      <c r="E292" s="390">
        <v>77.893039851999418</v>
      </c>
      <c r="F292" s="400">
        <v>29.340000000000003</v>
      </c>
      <c r="G292" s="400">
        <v>20.231999999999999</v>
      </c>
      <c r="H292" s="400">
        <v>0</v>
      </c>
      <c r="I292" s="400">
        <v>0</v>
      </c>
      <c r="J292" s="400">
        <v>0</v>
      </c>
      <c r="K292" s="400">
        <v>0</v>
      </c>
      <c r="L292" s="400">
        <f t="shared" si="62"/>
        <v>12.393000000000001</v>
      </c>
      <c r="M292" s="413">
        <f t="shared" si="63"/>
        <v>12.393000000000001</v>
      </c>
      <c r="N292" s="413">
        <f t="shared" si="64"/>
        <v>12.393000000000001</v>
      </c>
      <c r="O292" s="393">
        <f t="shared" si="65"/>
        <v>53.616519925999711</v>
      </c>
      <c r="P292" s="393">
        <f t="shared" si="66"/>
        <v>24.786000000000001</v>
      </c>
      <c r="Q292" s="393">
        <f t="shared" si="67"/>
        <v>10.116</v>
      </c>
      <c r="R292" s="393">
        <f t="shared" si="68"/>
        <v>0</v>
      </c>
      <c r="S292" s="393">
        <f t="shared" si="69"/>
        <v>3.0982500000000002</v>
      </c>
      <c r="T292" s="393">
        <f t="shared" si="70"/>
        <v>12.393000000000001</v>
      </c>
      <c r="U292" s="413">
        <f t="shared" si="71"/>
        <v>12.393000000000001</v>
      </c>
    </row>
    <row r="293" spans="1:21">
      <c r="A293">
        <v>400</v>
      </c>
      <c r="B293">
        <v>287</v>
      </c>
      <c r="C293" t="s">
        <v>328</v>
      </c>
      <c r="D293" s="391">
        <f t="shared" si="61"/>
        <v>62.13600000000001</v>
      </c>
      <c r="E293" s="390">
        <v>119.97163666295958</v>
      </c>
      <c r="F293" s="400">
        <v>109.65600000000001</v>
      </c>
      <c r="G293" s="400">
        <v>81.323999999999998</v>
      </c>
      <c r="H293" s="400">
        <v>62.13600000000001</v>
      </c>
      <c r="I293" s="400">
        <v>62.13600000000001</v>
      </c>
      <c r="J293" s="400">
        <v>62.13600000000001</v>
      </c>
      <c r="K293" s="400">
        <v>62.13600000000001</v>
      </c>
      <c r="L293" s="400">
        <f t="shared" si="62"/>
        <v>78.813000000000017</v>
      </c>
      <c r="M293" s="413">
        <f t="shared" si="63"/>
        <v>78.813000000000017</v>
      </c>
      <c r="N293" s="413">
        <f t="shared" si="64"/>
        <v>78.813000000000017</v>
      </c>
      <c r="O293" s="393">
        <f t="shared" si="65"/>
        <v>114.81381833147979</v>
      </c>
      <c r="P293" s="393">
        <f t="shared" si="66"/>
        <v>95.490000000000009</v>
      </c>
      <c r="Q293" s="393">
        <f t="shared" si="67"/>
        <v>71.73</v>
      </c>
      <c r="R293" s="393">
        <f t="shared" si="68"/>
        <v>62.13600000000001</v>
      </c>
      <c r="S293" s="393">
        <f t="shared" si="69"/>
        <v>66.305250000000001</v>
      </c>
      <c r="T293" s="393">
        <f t="shared" si="70"/>
        <v>78.813000000000017</v>
      </c>
      <c r="U293" s="413">
        <f t="shared" si="71"/>
        <v>78.813000000000017</v>
      </c>
    </row>
    <row r="294" spans="1:21">
      <c r="A294">
        <v>74</v>
      </c>
      <c r="B294">
        <v>288</v>
      </c>
      <c r="C294" t="s">
        <v>380</v>
      </c>
      <c r="D294" s="391">
        <f t="shared" si="61"/>
        <v>7.2000000000000008E-2</v>
      </c>
      <c r="E294" s="390">
        <v>0.20315496640045755</v>
      </c>
      <c r="F294" s="400">
        <v>0</v>
      </c>
      <c r="G294" s="400">
        <v>0.108</v>
      </c>
      <c r="H294" s="400">
        <v>7.2000000000000008E-2</v>
      </c>
      <c r="I294" s="400">
        <v>7.2000000000000008E-2</v>
      </c>
      <c r="J294" s="400">
        <v>7.2000000000000008E-2</v>
      </c>
      <c r="K294" s="400">
        <v>7.2000000000000008E-2</v>
      </c>
      <c r="L294" s="400">
        <f t="shared" si="62"/>
        <v>6.3E-2</v>
      </c>
      <c r="M294" s="413">
        <f t="shared" si="63"/>
        <v>6.3E-2</v>
      </c>
      <c r="N294" s="413">
        <f t="shared" si="64"/>
        <v>6.3E-2</v>
      </c>
      <c r="O294" s="393">
        <f t="shared" si="65"/>
        <v>0.10157748320022877</v>
      </c>
      <c r="P294" s="393">
        <f t="shared" si="66"/>
        <v>5.3999999999999999E-2</v>
      </c>
      <c r="Q294" s="393">
        <f t="shared" si="67"/>
        <v>0.09</v>
      </c>
      <c r="R294" s="393">
        <f t="shared" si="68"/>
        <v>7.2000000000000008E-2</v>
      </c>
      <c r="S294" s="393">
        <f t="shared" si="69"/>
        <v>6.9750000000000006E-2</v>
      </c>
      <c r="T294" s="393">
        <f t="shared" si="70"/>
        <v>6.3E-2</v>
      </c>
      <c r="U294" s="413">
        <f t="shared" si="71"/>
        <v>6.3E-2</v>
      </c>
    </row>
    <row r="295" spans="1:21">
      <c r="A295">
        <v>432</v>
      </c>
      <c r="B295">
        <v>289</v>
      </c>
      <c r="C295" t="s">
        <v>329</v>
      </c>
      <c r="D295" s="391">
        <f t="shared" si="61"/>
        <v>0</v>
      </c>
      <c r="E295" s="390">
        <v>0</v>
      </c>
      <c r="F295" s="400">
        <v>0</v>
      </c>
      <c r="G295" s="400">
        <v>0</v>
      </c>
      <c r="H295" s="400">
        <v>0</v>
      </c>
      <c r="I295" s="400">
        <v>0</v>
      </c>
      <c r="J295" s="400">
        <v>0</v>
      </c>
      <c r="K295" s="400">
        <v>0</v>
      </c>
      <c r="L295" s="400">
        <f t="shared" si="62"/>
        <v>0</v>
      </c>
      <c r="M295" s="413">
        <f t="shared" si="63"/>
        <v>0</v>
      </c>
      <c r="N295" s="413">
        <f t="shared" si="64"/>
        <v>0</v>
      </c>
      <c r="O295" s="393">
        <f t="shared" si="65"/>
        <v>0</v>
      </c>
      <c r="P295" s="393">
        <f t="shared" si="66"/>
        <v>0</v>
      </c>
      <c r="Q295" s="393">
        <f t="shared" si="67"/>
        <v>0</v>
      </c>
      <c r="R295" s="393">
        <f t="shared" si="68"/>
        <v>0</v>
      </c>
      <c r="S295" s="393">
        <f t="shared" si="69"/>
        <v>0</v>
      </c>
      <c r="T295" s="393">
        <f t="shared" si="70"/>
        <v>0</v>
      </c>
      <c r="U295" s="413">
        <f t="shared" si="71"/>
        <v>0</v>
      </c>
    </row>
    <row r="296" spans="1:21">
      <c r="A296">
        <v>233</v>
      </c>
      <c r="B296">
        <v>290</v>
      </c>
      <c r="C296" t="s">
        <v>330</v>
      </c>
      <c r="D296" s="391">
        <f t="shared" si="61"/>
        <v>87.012000000000015</v>
      </c>
      <c r="E296" s="390">
        <v>88.375181951535438</v>
      </c>
      <c r="F296" s="400">
        <v>93.204000000000008</v>
      </c>
      <c r="G296" s="400">
        <v>78.912000000000006</v>
      </c>
      <c r="H296" s="400">
        <v>87.012000000000015</v>
      </c>
      <c r="I296" s="400">
        <v>87.012000000000015</v>
      </c>
      <c r="J296" s="400">
        <v>87.012000000000015</v>
      </c>
      <c r="K296" s="400">
        <v>87.012000000000015</v>
      </c>
      <c r="L296" s="400">
        <f t="shared" si="62"/>
        <v>86.535000000000011</v>
      </c>
      <c r="M296" s="413">
        <f t="shared" si="63"/>
        <v>86.535000000000011</v>
      </c>
      <c r="N296" s="413">
        <f t="shared" si="64"/>
        <v>86.535000000000011</v>
      </c>
      <c r="O296" s="393">
        <f t="shared" si="65"/>
        <v>90.789590975767723</v>
      </c>
      <c r="P296" s="393">
        <f t="shared" si="66"/>
        <v>86.058000000000007</v>
      </c>
      <c r="Q296" s="393">
        <f t="shared" si="67"/>
        <v>82.962000000000018</v>
      </c>
      <c r="R296" s="393">
        <f t="shared" si="68"/>
        <v>87.012000000000015</v>
      </c>
      <c r="S296" s="393">
        <f t="shared" si="69"/>
        <v>86.892750000000021</v>
      </c>
      <c r="T296" s="393">
        <f t="shared" si="70"/>
        <v>86.535000000000011</v>
      </c>
      <c r="U296" s="413">
        <f t="shared" si="71"/>
        <v>86.535000000000011</v>
      </c>
    </row>
    <row r="297" spans="1:21">
      <c r="A297">
        <v>47</v>
      </c>
      <c r="B297">
        <v>291</v>
      </c>
      <c r="C297" t="s">
        <v>332</v>
      </c>
      <c r="D297" s="391">
        <f t="shared" si="61"/>
        <v>0</v>
      </c>
      <c r="E297" s="390">
        <v>0</v>
      </c>
      <c r="F297" s="400">
        <v>0</v>
      </c>
      <c r="G297" s="400">
        <v>0</v>
      </c>
      <c r="H297" s="400">
        <v>0</v>
      </c>
      <c r="I297" s="400">
        <v>0</v>
      </c>
      <c r="J297" s="400">
        <v>0</v>
      </c>
      <c r="K297" s="400">
        <v>0</v>
      </c>
      <c r="L297" s="400">
        <f t="shared" si="62"/>
        <v>0</v>
      </c>
      <c r="M297" s="413">
        <f t="shared" si="63"/>
        <v>0</v>
      </c>
      <c r="N297" s="413">
        <f t="shared" si="64"/>
        <v>0</v>
      </c>
      <c r="O297" s="393">
        <f t="shared" si="65"/>
        <v>0</v>
      </c>
      <c r="P297" s="393">
        <f t="shared" si="66"/>
        <v>0</v>
      </c>
      <c r="Q297" s="393">
        <f t="shared" si="67"/>
        <v>0</v>
      </c>
      <c r="R297" s="393">
        <f t="shared" si="68"/>
        <v>0</v>
      </c>
      <c r="S297" s="393">
        <f t="shared" si="69"/>
        <v>0</v>
      </c>
      <c r="T297" s="393">
        <f t="shared" si="70"/>
        <v>0</v>
      </c>
      <c r="U297" s="413">
        <f t="shared" si="71"/>
        <v>0</v>
      </c>
    </row>
    <row r="298" spans="1:21">
      <c r="A298">
        <v>41</v>
      </c>
      <c r="B298">
        <v>292</v>
      </c>
      <c r="C298" t="s">
        <v>333</v>
      </c>
      <c r="D298" s="391">
        <f t="shared" si="61"/>
        <v>73.872</v>
      </c>
      <c r="E298" s="390">
        <v>105.06417704893867</v>
      </c>
      <c r="F298" s="400">
        <v>85.067999999999998</v>
      </c>
      <c r="G298" s="400">
        <v>76.860000000000014</v>
      </c>
      <c r="H298" s="400">
        <v>73.872</v>
      </c>
      <c r="I298" s="400">
        <v>73.872</v>
      </c>
      <c r="J298" s="400">
        <v>73.872</v>
      </c>
      <c r="K298" s="400">
        <v>73.872</v>
      </c>
      <c r="L298" s="400">
        <f t="shared" si="62"/>
        <v>77.418000000000006</v>
      </c>
      <c r="M298" s="413">
        <f t="shared" si="63"/>
        <v>77.418000000000006</v>
      </c>
      <c r="N298" s="413">
        <f t="shared" si="64"/>
        <v>77.418000000000006</v>
      </c>
      <c r="O298" s="393">
        <f t="shared" si="65"/>
        <v>95.066088524469336</v>
      </c>
      <c r="P298" s="393">
        <f t="shared" si="66"/>
        <v>80.963999999999999</v>
      </c>
      <c r="Q298" s="393">
        <f t="shared" si="67"/>
        <v>75.366000000000014</v>
      </c>
      <c r="R298" s="393">
        <f t="shared" si="68"/>
        <v>73.872</v>
      </c>
      <c r="S298" s="393">
        <f t="shared" si="69"/>
        <v>74.758499999999998</v>
      </c>
      <c r="T298" s="393">
        <f t="shared" si="70"/>
        <v>77.418000000000006</v>
      </c>
      <c r="U298" s="413">
        <f t="shared" si="71"/>
        <v>77.418000000000006</v>
      </c>
    </row>
    <row r="299" spans="1:21">
      <c r="A299">
        <v>2</v>
      </c>
      <c r="B299">
        <v>293</v>
      </c>
      <c r="C299" s="324" t="s">
        <v>334</v>
      </c>
      <c r="D299" s="391">
        <f t="shared" si="61"/>
        <v>0</v>
      </c>
      <c r="E299" s="394">
        <v>0</v>
      </c>
      <c r="F299" s="400">
        <v>0</v>
      </c>
      <c r="G299" s="400">
        <v>0</v>
      </c>
      <c r="H299" s="400">
        <v>0</v>
      </c>
      <c r="I299" s="400">
        <v>0</v>
      </c>
      <c r="J299" s="400">
        <v>0</v>
      </c>
      <c r="K299" s="400">
        <v>0</v>
      </c>
      <c r="L299" s="400">
        <f t="shared" si="62"/>
        <v>0</v>
      </c>
      <c r="M299" s="413">
        <f t="shared" si="63"/>
        <v>0</v>
      </c>
      <c r="N299" s="413">
        <f t="shared" si="64"/>
        <v>0</v>
      </c>
      <c r="O299" s="393">
        <f t="shared" si="65"/>
        <v>0</v>
      </c>
      <c r="P299" s="393">
        <f t="shared" si="66"/>
        <v>0</v>
      </c>
      <c r="Q299" s="393">
        <f t="shared" si="67"/>
        <v>0</v>
      </c>
      <c r="R299" s="393">
        <f t="shared" si="68"/>
        <v>0</v>
      </c>
      <c r="S299" s="393">
        <f t="shared" si="69"/>
        <v>0</v>
      </c>
      <c r="T299" s="393">
        <f t="shared" si="70"/>
        <v>0</v>
      </c>
      <c r="U299" s="413">
        <f t="shared" si="71"/>
        <v>0</v>
      </c>
    </row>
    <row r="300" spans="1:21">
      <c r="A300">
        <v>290</v>
      </c>
      <c r="B300">
        <v>294</v>
      </c>
      <c r="C300" t="s">
        <v>26</v>
      </c>
      <c r="D300" s="391">
        <f t="shared" si="61"/>
        <v>9.1079999999999988</v>
      </c>
      <c r="E300" s="390">
        <v>2.1227981882234528</v>
      </c>
      <c r="F300" s="400">
        <v>33.480000000000004</v>
      </c>
      <c r="G300" s="400">
        <v>1.8360000000000001</v>
      </c>
      <c r="H300" s="400">
        <v>9.1079999999999988</v>
      </c>
      <c r="I300" s="400">
        <v>9.1079999999999988</v>
      </c>
      <c r="J300" s="400">
        <v>9.1079999999999988</v>
      </c>
      <c r="K300" s="400">
        <v>9.1079999999999988</v>
      </c>
      <c r="L300" s="400">
        <f t="shared" si="62"/>
        <v>13.382999999999999</v>
      </c>
      <c r="M300" s="413">
        <f t="shared" si="63"/>
        <v>13.382999999999999</v>
      </c>
      <c r="N300" s="413">
        <f t="shared" si="64"/>
        <v>13.382999999999999</v>
      </c>
      <c r="O300" s="393">
        <f t="shared" si="65"/>
        <v>17.80139909411173</v>
      </c>
      <c r="P300" s="393">
        <f t="shared" si="66"/>
        <v>17.658000000000001</v>
      </c>
      <c r="Q300" s="393">
        <f t="shared" si="67"/>
        <v>5.4719999999999995</v>
      </c>
      <c r="R300" s="393">
        <f t="shared" si="68"/>
        <v>9.1079999999999988</v>
      </c>
      <c r="S300" s="393">
        <f t="shared" si="69"/>
        <v>10.176749999999998</v>
      </c>
      <c r="T300" s="393">
        <f t="shared" si="70"/>
        <v>13.382999999999999</v>
      </c>
      <c r="U300" s="413">
        <f t="shared" si="71"/>
        <v>13.382999999999999</v>
      </c>
    </row>
    <row r="301" spans="1:21">
      <c r="A301">
        <v>451</v>
      </c>
      <c r="B301">
        <v>295</v>
      </c>
      <c r="C301" t="s">
        <v>531</v>
      </c>
      <c r="D301" s="391">
        <f t="shared" si="61"/>
        <v>0.108</v>
      </c>
      <c r="E301" s="390">
        <v>0.44479748489553705</v>
      </c>
      <c r="F301" s="400">
        <v>0.216</v>
      </c>
      <c r="G301" s="400">
        <v>7.2000000000000008E-2</v>
      </c>
      <c r="H301" s="400">
        <v>0.108</v>
      </c>
      <c r="I301" s="400">
        <v>0.108</v>
      </c>
      <c r="J301" s="400">
        <v>0.108</v>
      </c>
      <c r="K301" s="400">
        <v>0.108</v>
      </c>
      <c r="L301" s="400">
        <f t="shared" si="62"/>
        <v>0.126</v>
      </c>
      <c r="M301" s="413">
        <f t="shared" si="63"/>
        <v>0.126</v>
      </c>
      <c r="N301" s="413">
        <f t="shared" si="64"/>
        <v>0.126</v>
      </c>
      <c r="O301" s="393">
        <f t="shared" si="65"/>
        <v>0.33039874244776851</v>
      </c>
      <c r="P301" s="393">
        <f t="shared" si="66"/>
        <v>0.14400000000000002</v>
      </c>
      <c r="Q301" s="393">
        <f t="shared" si="67"/>
        <v>0.09</v>
      </c>
      <c r="R301" s="393">
        <f t="shared" si="68"/>
        <v>0.108</v>
      </c>
      <c r="S301" s="393">
        <f t="shared" si="69"/>
        <v>0.1125</v>
      </c>
      <c r="T301" s="393">
        <f t="shared" si="70"/>
        <v>0.126</v>
      </c>
      <c r="U301" s="413">
        <f t="shared" si="71"/>
        <v>0.126</v>
      </c>
    </row>
    <row r="302" spans="1:21">
      <c r="A302">
        <v>60</v>
      </c>
      <c r="B302">
        <v>296</v>
      </c>
      <c r="C302" t="s">
        <v>335</v>
      </c>
      <c r="D302" s="391">
        <f t="shared" si="61"/>
        <v>1.8</v>
      </c>
      <c r="E302" s="390">
        <v>3.4939943374858444</v>
      </c>
      <c r="F302" s="400">
        <v>1.6919999999999999</v>
      </c>
      <c r="G302" s="400">
        <v>1.4040000000000001</v>
      </c>
      <c r="H302" s="400">
        <v>1.8</v>
      </c>
      <c r="I302" s="400">
        <v>1.8</v>
      </c>
      <c r="J302" s="400">
        <v>1.8</v>
      </c>
      <c r="K302" s="400">
        <v>1.8</v>
      </c>
      <c r="L302" s="400">
        <f t="shared" si="62"/>
        <v>1.6739999999999999</v>
      </c>
      <c r="M302" s="413">
        <f t="shared" si="63"/>
        <v>1.6739999999999999</v>
      </c>
      <c r="N302" s="413">
        <f t="shared" si="64"/>
        <v>1.6739999999999999</v>
      </c>
      <c r="O302" s="393">
        <f t="shared" si="65"/>
        <v>2.5929971687429223</v>
      </c>
      <c r="P302" s="393">
        <f t="shared" si="66"/>
        <v>1.548</v>
      </c>
      <c r="Q302" s="393">
        <f t="shared" si="67"/>
        <v>1.6020000000000001</v>
      </c>
      <c r="R302" s="393">
        <f t="shared" si="68"/>
        <v>1.8</v>
      </c>
      <c r="S302" s="393">
        <f t="shared" si="69"/>
        <v>1.7685</v>
      </c>
      <c r="T302" s="393">
        <f t="shared" si="70"/>
        <v>1.6739999999999999</v>
      </c>
      <c r="U302" s="413">
        <f t="shared" si="71"/>
        <v>1.6739999999999999</v>
      </c>
    </row>
    <row r="303" spans="1:21">
      <c r="A303">
        <v>449</v>
      </c>
      <c r="B303">
        <v>297</v>
      </c>
      <c r="C303" t="s">
        <v>336</v>
      </c>
      <c r="D303" s="391">
        <f t="shared" si="61"/>
        <v>51.480000000000004</v>
      </c>
      <c r="E303" s="390">
        <v>48.926809069749318</v>
      </c>
      <c r="F303" s="400">
        <v>44.747999999999998</v>
      </c>
      <c r="G303" s="400">
        <v>42.768000000000001</v>
      </c>
      <c r="H303" s="400">
        <v>51.480000000000004</v>
      </c>
      <c r="I303" s="400">
        <v>51.480000000000004</v>
      </c>
      <c r="J303" s="400">
        <v>51.480000000000004</v>
      </c>
      <c r="K303" s="400">
        <v>51.480000000000004</v>
      </c>
      <c r="L303" s="400">
        <f t="shared" si="62"/>
        <v>47.619</v>
      </c>
      <c r="M303" s="413">
        <f t="shared" si="63"/>
        <v>47.619</v>
      </c>
      <c r="N303" s="413">
        <f t="shared" si="64"/>
        <v>47.619</v>
      </c>
      <c r="O303" s="393">
        <f t="shared" si="65"/>
        <v>46.837404534874658</v>
      </c>
      <c r="P303" s="393">
        <f t="shared" si="66"/>
        <v>43.757999999999996</v>
      </c>
      <c r="Q303" s="393">
        <f t="shared" si="67"/>
        <v>47.124000000000002</v>
      </c>
      <c r="R303" s="393">
        <f t="shared" si="68"/>
        <v>51.480000000000004</v>
      </c>
      <c r="S303" s="393">
        <f t="shared" si="69"/>
        <v>50.514749999999999</v>
      </c>
      <c r="T303" s="393">
        <f t="shared" si="70"/>
        <v>47.619</v>
      </c>
      <c r="U303" s="413">
        <f t="shared" si="71"/>
        <v>47.619</v>
      </c>
    </row>
    <row r="304" spans="1:21">
      <c r="A304">
        <v>322</v>
      </c>
      <c r="B304">
        <v>298</v>
      </c>
      <c r="C304" t="s">
        <v>337</v>
      </c>
      <c r="D304" s="391">
        <f t="shared" si="61"/>
        <v>61.812000000000005</v>
      </c>
      <c r="E304" s="390">
        <v>55.028733428215162</v>
      </c>
      <c r="F304" s="400">
        <v>55.943999999999996</v>
      </c>
      <c r="G304" s="400">
        <v>69.876000000000005</v>
      </c>
      <c r="H304" s="400">
        <v>61.812000000000005</v>
      </c>
      <c r="I304" s="400">
        <v>61.812000000000005</v>
      </c>
      <c r="J304" s="400">
        <v>61.812000000000005</v>
      </c>
      <c r="K304" s="400">
        <v>61.812000000000005</v>
      </c>
      <c r="L304" s="400">
        <f t="shared" si="62"/>
        <v>62.361000000000004</v>
      </c>
      <c r="M304" s="413">
        <f t="shared" si="63"/>
        <v>62.361000000000004</v>
      </c>
      <c r="N304" s="413">
        <f t="shared" si="64"/>
        <v>62.361000000000004</v>
      </c>
      <c r="O304" s="393">
        <f t="shared" si="65"/>
        <v>55.486366714107575</v>
      </c>
      <c r="P304" s="393">
        <f t="shared" si="66"/>
        <v>62.91</v>
      </c>
      <c r="Q304" s="393">
        <f t="shared" si="67"/>
        <v>65.844000000000008</v>
      </c>
      <c r="R304" s="393">
        <f t="shared" si="68"/>
        <v>61.812000000000005</v>
      </c>
      <c r="S304" s="393">
        <f t="shared" si="69"/>
        <v>61.949250000000006</v>
      </c>
      <c r="T304" s="393">
        <f t="shared" si="70"/>
        <v>62.361000000000004</v>
      </c>
      <c r="U304" s="413">
        <f t="shared" si="71"/>
        <v>62.361000000000004</v>
      </c>
    </row>
    <row r="305" spans="1:21">
      <c r="A305">
        <v>52</v>
      </c>
      <c r="B305">
        <v>299</v>
      </c>
      <c r="C305" t="s">
        <v>534</v>
      </c>
      <c r="D305" s="391">
        <f t="shared" si="61"/>
        <v>7.2000000000000008E-2</v>
      </c>
      <c r="E305" s="390">
        <v>3.4446533481783365E-2</v>
      </c>
      <c r="F305" s="400">
        <v>0.18000000000000002</v>
      </c>
      <c r="G305" s="400">
        <v>0.216</v>
      </c>
      <c r="H305" s="400">
        <v>7.2000000000000008E-2</v>
      </c>
      <c r="I305" s="400">
        <v>7.2000000000000008E-2</v>
      </c>
      <c r="J305" s="400">
        <v>7.2000000000000008E-2</v>
      </c>
      <c r="K305" s="400">
        <v>7.2000000000000008E-2</v>
      </c>
      <c r="L305" s="400">
        <f t="shared" si="62"/>
        <v>0.13500000000000001</v>
      </c>
      <c r="M305" s="413">
        <f t="shared" si="63"/>
        <v>0.13500000000000001</v>
      </c>
      <c r="N305" s="413">
        <f t="shared" si="64"/>
        <v>0.13500000000000001</v>
      </c>
      <c r="O305" s="393">
        <f t="shared" si="65"/>
        <v>0.10722326674089169</v>
      </c>
      <c r="P305" s="393">
        <f t="shared" si="66"/>
        <v>0.19800000000000001</v>
      </c>
      <c r="Q305" s="393">
        <f t="shared" si="67"/>
        <v>0.14400000000000002</v>
      </c>
      <c r="R305" s="393">
        <f t="shared" si="68"/>
        <v>7.2000000000000008E-2</v>
      </c>
      <c r="S305" s="393">
        <f t="shared" si="69"/>
        <v>8.7750000000000009E-2</v>
      </c>
      <c r="T305" s="393">
        <f t="shared" si="70"/>
        <v>0.13500000000000001</v>
      </c>
      <c r="U305" s="413">
        <f t="shared" si="71"/>
        <v>0.13500000000000001</v>
      </c>
    </row>
    <row r="306" spans="1:21">
      <c r="A306">
        <v>24</v>
      </c>
      <c r="B306">
        <v>300</v>
      </c>
      <c r="C306" t="s">
        <v>339</v>
      </c>
      <c r="D306" s="391">
        <f t="shared" si="61"/>
        <v>0</v>
      </c>
      <c r="E306" s="390">
        <v>0</v>
      </c>
      <c r="F306" s="400">
        <v>0</v>
      </c>
      <c r="G306" s="400">
        <v>0</v>
      </c>
      <c r="H306" s="400">
        <v>0</v>
      </c>
      <c r="I306" s="400">
        <v>0</v>
      </c>
      <c r="J306" s="400">
        <v>0</v>
      </c>
      <c r="K306" s="400">
        <v>0</v>
      </c>
      <c r="L306" s="400">
        <f t="shared" si="62"/>
        <v>0</v>
      </c>
      <c r="M306" s="413">
        <f t="shared" si="63"/>
        <v>0</v>
      </c>
      <c r="N306" s="413">
        <f t="shared" si="64"/>
        <v>0</v>
      </c>
      <c r="O306" s="393">
        <f t="shared" si="65"/>
        <v>0</v>
      </c>
      <c r="P306" s="393">
        <f t="shared" si="66"/>
        <v>0</v>
      </c>
      <c r="Q306" s="393">
        <f t="shared" si="67"/>
        <v>0</v>
      </c>
      <c r="R306" s="393">
        <f t="shared" si="68"/>
        <v>0</v>
      </c>
      <c r="S306" s="393">
        <f t="shared" si="69"/>
        <v>0</v>
      </c>
      <c r="T306" s="393">
        <f t="shared" si="70"/>
        <v>0</v>
      </c>
      <c r="U306" s="413">
        <f t="shared" si="71"/>
        <v>0</v>
      </c>
    </row>
    <row r="307" spans="1:21">
      <c r="A307">
        <v>87</v>
      </c>
      <c r="B307">
        <v>301</v>
      </c>
      <c r="C307" t="s">
        <v>340</v>
      </c>
      <c r="D307" s="391">
        <f t="shared" si="61"/>
        <v>55.475999999999999</v>
      </c>
      <c r="E307" s="390">
        <v>60.594479231658404</v>
      </c>
      <c r="F307" s="400">
        <v>54.54</v>
      </c>
      <c r="G307" s="400">
        <v>52.271999999999998</v>
      </c>
      <c r="H307" s="400">
        <v>55.475999999999999</v>
      </c>
      <c r="I307" s="400">
        <v>55.475999999999999</v>
      </c>
      <c r="J307" s="400">
        <v>55.475999999999999</v>
      </c>
      <c r="K307" s="400">
        <v>55.475999999999999</v>
      </c>
      <c r="L307" s="400">
        <f t="shared" si="62"/>
        <v>54.441000000000003</v>
      </c>
      <c r="M307" s="413">
        <f t="shared" si="63"/>
        <v>54.441000000000003</v>
      </c>
      <c r="N307" s="413">
        <f t="shared" si="64"/>
        <v>54.441000000000003</v>
      </c>
      <c r="O307" s="393">
        <f t="shared" si="65"/>
        <v>57.567239615829202</v>
      </c>
      <c r="P307" s="393">
        <f t="shared" si="66"/>
        <v>53.405999999999999</v>
      </c>
      <c r="Q307" s="393">
        <f t="shared" si="67"/>
        <v>53.873999999999995</v>
      </c>
      <c r="R307" s="393">
        <f t="shared" si="68"/>
        <v>55.475999999999999</v>
      </c>
      <c r="S307" s="393">
        <f t="shared" si="69"/>
        <v>55.21725</v>
      </c>
      <c r="T307" s="393">
        <f t="shared" si="70"/>
        <v>54.441000000000003</v>
      </c>
      <c r="U307" s="413">
        <f t="shared" si="71"/>
        <v>54.441000000000003</v>
      </c>
    </row>
    <row r="308" spans="1:21">
      <c r="A308">
        <v>366</v>
      </c>
      <c r="B308">
        <v>302</v>
      </c>
      <c r="C308" t="s">
        <v>341</v>
      </c>
      <c r="D308" s="391">
        <f t="shared" si="61"/>
        <v>0</v>
      </c>
      <c r="E308" s="390">
        <v>0</v>
      </c>
      <c r="F308" s="400">
        <v>0</v>
      </c>
      <c r="G308" s="400">
        <v>0</v>
      </c>
      <c r="H308" s="400">
        <v>0</v>
      </c>
      <c r="I308" s="400">
        <v>0</v>
      </c>
      <c r="J308" s="400">
        <v>0</v>
      </c>
      <c r="K308" s="400">
        <v>0</v>
      </c>
      <c r="L308" s="400">
        <f t="shared" si="62"/>
        <v>0</v>
      </c>
      <c r="M308" s="413">
        <f t="shared" si="63"/>
        <v>0</v>
      </c>
      <c r="N308" s="413">
        <f t="shared" si="64"/>
        <v>0</v>
      </c>
      <c r="O308" s="393">
        <f t="shared" si="65"/>
        <v>0</v>
      </c>
      <c r="P308" s="393">
        <f t="shared" si="66"/>
        <v>0</v>
      </c>
      <c r="Q308" s="393">
        <f t="shared" si="67"/>
        <v>0</v>
      </c>
      <c r="R308" s="393">
        <f t="shared" si="68"/>
        <v>0</v>
      </c>
      <c r="S308" s="393">
        <f t="shared" si="69"/>
        <v>0</v>
      </c>
      <c r="T308" s="393">
        <f t="shared" si="70"/>
        <v>0</v>
      </c>
      <c r="U308" s="413">
        <f t="shared" si="71"/>
        <v>0</v>
      </c>
    </row>
    <row r="309" spans="1:21">
      <c r="A309">
        <v>325</v>
      </c>
      <c r="B309">
        <v>303</v>
      </c>
      <c r="C309" t="s">
        <v>342</v>
      </c>
      <c r="D309" s="391">
        <f t="shared" si="61"/>
        <v>0</v>
      </c>
      <c r="E309" s="390">
        <v>1.7219870253164558</v>
      </c>
      <c r="F309" s="400">
        <v>0</v>
      </c>
      <c r="G309" s="400">
        <v>0</v>
      </c>
      <c r="H309" s="400">
        <v>0</v>
      </c>
      <c r="I309" s="400">
        <v>0</v>
      </c>
      <c r="J309" s="400">
        <v>0</v>
      </c>
      <c r="K309" s="400">
        <v>0</v>
      </c>
      <c r="L309" s="400">
        <f t="shared" si="62"/>
        <v>0</v>
      </c>
      <c r="M309" s="413">
        <f t="shared" si="63"/>
        <v>0</v>
      </c>
      <c r="N309" s="413">
        <f t="shared" si="64"/>
        <v>0</v>
      </c>
      <c r="O309" s="393">
        <f t="shared" si="65"/>
        <v>0.86099351265822788</v>
      </c>
      <c r="P309" s="393">
        <f t="shared" si="66"/>
        <v>0</v>
      </c>
      <c r="Q309" s="393">
        <f t="shared" si="67"/>
        <v>0</v>
      </c>
      <c r="R309" s="393">
        <f t="shared" si="68"/>
        <v>0</v>
      </c>
      <c r="S309" s="393">
        <f t="shared" si="69"/>
        <v>0</v>
      </c>
      <c r="T309" s="393">
        <f t="shared" si="70"/>
        <v>0</v>
      </c>
      <c r="U309" s="413">
        <f t="shared" si="71"/>
        <v>0</v>
      </c>
    </row>
    <row r="310" spans="1:21">
      <c r="A310">
        <v>45</v>
      </c>
      <c r="B310">
        <v>304</v>
      </c>
      <c r="C310" t="s">
        <v>343</v>
      </c>
      <c r="D310" s="391">
        <f t="shared" si="61"/>
        <v>29.340000000000003</v>
      </c>
      <c r="E310" s="390">
        <v>8.1647404794601002</v>
      </c>
      <c r="F310" s="400">
        <v>5.7240000000000002</v>
      </c>
      <c r="G310" s="400">
        <v>6.984</v>
      </c>
      <c r="H310" s="400">
        <v>29.340000000000003</v>
      </c>
      <c r="I310" s="400">
        <v>29.340000000000003</v>
      </c>
      <c r="J310" s="400">
        <v>29.340000000000003</v>
      </c>
      <c r="K310" s="400">
        <v>29.340000000000003</v>
      </c>
      <c r="L310" s="400">
        <f t="shared" si="62"/>
        <v>17.847000000000001</v>
      </c>
      <c r="M310" s="413">
        <f t="shared" si="63"/>
        <v>17.847000000000001</v>
      </c>
      <c r="N310" s="413">
        <f t="shared" si="64"/>
        <v>17.847000000000001</v>
      </c>
      <c r="O310" s="393">
        <f t="shared" si="65"/>
        <v>6.9443702397300502</v>
      </c>
      <c r="P310" s="393">
        <f t="shared" si="66"/>
        <v>6.3540000000000001</v>
      </c>
      <c r="Q310" s="393">
        <f t="shared" si="67"/>
        <v>18.162000000000003</v>
      </c>
      <c r="R310" s="393">
        <f t="shared" si="68"/>
        <v>29.340000000000003</v>
      </c>
      <c r="S310" s="393">
        <f t="shared" si="69"/>
        <v>26.466750000000005</v>
      </c>
      <c r="T310" s="393">
        <f t="shared" si="70"/>
        <v>17.847000000000001</v>
      </c>
      <c r="U310" s="413">
        <f t="shared" si="71"/>
        <v>17.847000000000001</v>
      </c>
    </row>
    <row r="311" spans="1:21">
      <c r="A311">
        <v>429</v>
      </c>
      <c r="B311">
        <v>305</v>
      </c>
      <c r="C311" t="s">
        <v>344</v>
      </c>
      <c r="D311" s="391">
        <f t="shared" si="61"/>
        <v>0</v>
      </c>
      <c r="E311" s="390">
        <v>0</v>
      </c>
      <c r="F311" s="400">
        <v>0</v>
      </c>
      <c r="G311" s="400">
        <v>0</v>
      </c>
      <c r="H311" s="400">
        <v>0</v>
      </c>
      <c r="I311" s="400">
        <v>0</v>
      </c>
      <c r="J311" s="400">
        <v>0</v>
      </c>
      <c r="K311" s="400">
        <v>0</v>
      </c>
      <c r="L311" s="400">
        <f t="shared" si="62"/>
        <v>0</v>
      </c>
      <c r="M311" s="413">
        <f t="shared" si="63"/>
        <v>0</v>
      </c>
      <c r="N311" s="413">
        <f t="shared" si="64"/>
        <v>0</v>
      </c>
      <c r="O311" s="393">
        <f t="shared" si="65"/>
        <v>0</v>
      </c>
      <c r="P311" s="393">
        <f t="shared" si="66"/>
        <v>0</v>
      </c>
      <c r="Q311" s="393">
        <f t="shared" si="67"/>
        <v>0</v>
      </c>
      <c r="R311" s="393">
        <f t="shared" si="68"/>
        <v>0</v>
      </c>
      <c r="S311" s="393">
        <f t="shared" si="69"/>
        <v>0</v>
      </c>
      <c r="T311" s="393">
        <f t="shared" si="70"/>
        <v>0</v>
      </c>
      <c r="U311" s="413">
        <f t="shared" si="71"/>
        <v>0</v>
      </c>
    </row>
    <row r="312" spans="1:21">
      <c r="A312">
        <v>197</v>
      </c>
      <c r="B312">
        <v>306</v>
      </c>
      <c r="C312" t="s">
        <v>345</v>
      </c>
      <c r="D312" s="391">
        <f t="shared" si="61"/>
        <v>45.864000000000004</v>
      </c>
      <c r="E312" s="390">
        <v>151.11695432563135</v>
      </c>
      <c r="F312" s="400">
        <v>40.247999999999998</v>
      </c>
      <c r="G312" s="400">
        <v>40.536000000000001</v>
      </c>
      <c r="H312" s="400">
        <v>45.864000000000004</v>
      </c>
      <c r="I312" s="400">
        <v>45.864000000000004</v>
      </c>
      <c r="J312" s="400">
        <v>45.864000000000004</v>
      </c>
      <c r="K312" s="400">
        <v>45.864000000000004</v>
      </c>
      <c r="L312" s="400">
        <f t="shared" si="62"/>
        <v>43.128</v>
      </c>
      <c r="M312" s="413">
        <f t="shared" si="63"/>
        <v>43.128</v>
      </c>
      <c r="N312" s="413">
        <f t="shared" si="64"/>
        <v>43.128</v>
      </c>
      <c r="O312" s="393">
        <f t="shared" si="65"/>
        <v>95.682477162815673</v>
      </c>
      <c r="P312" s="393">
        <f t="shared" si="66"/>
        <v>40.391999999999996</v>
      </c>
      <c r="Q312" s="393">
        <f t="shared" si="67"/>
        <v>43.2</v>
      </c>
      <c r="R312" s="393">
        <f t="shared" si="68"/>
        <v>45.864000000000004</v>
      </c>
      <c r="S312" s="393">
        <f t="shared" si="69"/>
        <v>45.180000000000007</v>
      </c>
      <c r="T312" s="393">
        <f t="shared" si="70"/>
        <v>43.128</v>
      </c>
      <c r="U312" s="413">
        <f t="shared" si="71"/>
        <v>43.128</v>
      </c>
    </row>
    <row r="313" spans="1:21">
      <c r="A313">
        <v>129</v>
      </c>
      <c r="B313">
        <v>307</v>
      </c>
      <c r="C313" t="s">
        <v>535</v>
      </c>
      <c r="D313" s="391">
        <f t="shared" si="61"/>
        <v>20.484000000000002</v>
      </c>
      <c r="E313" s="390">
        <v>33.913454545454542</v>
      </c>
      <c r="F313" s="400">
        <v>15.696000000000002</v>
      </c>
      <c r="G313" s="400">
        <v>3.1680000000000001</v>
      </c>
      <c r="H313" s="400">
        <v>20.484000000000002</v>
      </c>
      <c r="I313" s="400">
        <v>20.484000000000002</v>
      </c>
      <c r="J313" s="400">
        <v>20.484000000000002</v>
      </c>
      <c r="K313" s="400">
        <v>20.484000000000002</v>
      </c>
      <c r="L313" s="400">
        <f t="shared" si="62"/>
        <v>14.958</v>
      </c>
      <c r="M313" s="413">
        <f t="shared" si="63"/>
        <v>14.958</v>
      </c>
      <c r="N313" s="413">
        <f t="shared" si="64"/>
        <v>14.958</v>
      </c>
      <c r="O313" s="393">
        <f t="shared" si="65"/>
        <v>24.80472727272727</v>
      </c>
      <c r="P313" s="393">
        <f t="shared" si="66"/>
        <v>9.4320000000000004</v>
      </c>
      <c r="Q313" s="393">
        <f t="shared" si="67"/>
        <v>11.826000000000001</v>
      </c>
      <c r="R313" s="393">
        <f t="shared" si="68"/>
        <v>20.484000000000002</v>
      </c>
      <c r="S313" s="393">
        <f t="shared" si="69"/>
        <v>19.102500000000003</v>
      </c>
      <c r="T313" s="393">
        <f t="shared" si="70"/>
        <v>14.958</v>
      </c>
      <c r="U313" s="413">
        <f t="shared" si="71"/>
        <v>14.958</v>
      </c>
    </row>
    <row r="314" spans="1:21">
      <c r="A314">
        <v>114</v>
      </c>
      <c r="B314">
        <v>308</v>
      </c>
      <c r="C314" t="s">
        <v>536</v>
      </c>
      <c r="D314" s="391">
        <f t="shared" si="61"/>
        <v>152.02799999999999</v>
      </c>
      <c r="E314" s="390">
        <v>168.67920778940584</v>
      </c>
      <c r="F314" s="400">
        <v>159.15600000000001</v>
      </c>
      <c r="G314" s="400">
        <v>155.77200000000002</v>
      </c>
      <c r="H314" s="400">
        <v>152.02799999999999</v>
      </c>
      <c r="I314" s="400">
        <v>152.02799999999999</v>
      </c>
      <c r="J314" s="400">
        <v>152.02799999999999</v>
      </c>
      <c r="K314" s="400">
        <v>152.02799999999999</v>
      </c>
      <c r="L314" s="400">
        <f t="shared" si="62"/>
        <v>154.74600000000001</v>
      </c>
      <c r="M314" s="413">
        <f t="shared" si="63"/>
        <v>154.74600000000001</v>
      </c>
      <c r="N314" s="413">
        <f t="shared" si="64"/>
        <v>154.74600000000001</v>
      </c>
      <c r="O314" s="393">
        <f t="shared" si="65"/>
        <v>163.91760389470292</v>
      </c>
      <c r="P314" s="393">
        <f t="shared" si="66"/>
        <v>157.464</v>
      </c>
      <c r="Q314" s="393">
        <f t="shared" si="67"/>
        <v>153.9</v>
      </c>
      <c r="R314" s="393">
        <f t="shared" si="68"/>
        <v>152.02799999999999</v>
      </c>
      <c r="S314" s="393">
        <f t="shared" si="69"/>
        <v>152.70749999999998</v>
      </c>
      <c r="T314" s="393">
        <f t="shared" si="70"/>
        <v>154.74600000000001</v>
      </c>
      <c r="U314" s="413">
        <f t="shared" si="71"/>
        <v>154.74600000000001</v>
      </c>
    </row>
    <row r="315" spans="1:21">
      <c r="A315">
        <v>330</v>
      </c>
      <c r="B315">
        <v>309</v>
      </c>
      <c r="C315" t="s">
        <v>346</v>
      </c>
      <c r="D315" s="391">
        <f t="shared" si="61"/>
        <v>66.78</v>
      </c>
      <c r="E315" s="390">
        <v>120.20656046594047</v>
      </c>
      <c r="F315" s="400">
        <v>84.528000000000006</v>
      </c>
      <c r="G315" s="400">
        <v>49.392000000000003</v>
      </c>
      <c r="H315" s="400">
        <v>66.78</v>
      </c>
      <c r="I315" s="400">
        <v>66.78</v>
      </c>
      <c r="J315" s="400">
        <v>66.78</v>
      </c>
      <c r="K315" s="400">
        <v>66.78</v>
      </c>
      <c r="L315" s="400">
        <f t="shared" si="62"/>
        <v>66.87</v>
      </c>
      <c r="M315" s="413">
        <f t="shared" si="63"/>
        <v>66.87</v>
      </c>
      <c r="N315" s="413">
        <f t="shared" si="64"/>
        <v>66.87</v>
      </c>
      <c r="O315" s="393">
        <f t="shared" si="65"/>
        <v>102.36728023297024</v>
      </c>
      <c r="P315" s="393">
        <f t="shared" si="66"/>
        <v>66.960000000000008</v>
      </c>
      <c r="Q315" s="393">
        <f t="shared" si="67"/>
        <v>58.085999999999999</v>
      </c>
      <c r="R315" s="393">
        <f t="shared" si="68"/>
        <v>66.78</v>
      </c>
      <c r="S315" s="393">
        <f t="shared" si="69"/>
        <v>66.802500000000009</v>
      </c>
      <c r="T315" s="393">
        <f t="shared" si="70"/>
        <v>66.87</v>
      </c>
      <c r="U315" s="413">
        <f t="shared" si="71"/>
        <v>66.87</v>
      </c>
    </row>
    <row r="316" spans="1:21">
      <c r="A316">
        <v>162</v>
      </c>
      <c r="B316">
        <v>310</v>
      </c>
      <c r="C316" t="s">
        <v>537</v>
      </c>
      <c r="D316" s="391">
        <f t="shared" si="61"/>
        <v>81.86399999999999</v>
      </c>
      <c r="E316" s="390">
        <v>35.240168189536668</v>
      </c>
      <c r="F316" s="400">
        <v>45.468000000000004</v>
      </c>
      <c r="G316" s="400">
        <v>72.756</v>
      </c>
      <c r="H316" s="400">
        <v>81.86399999999999</v>
      </c>
      <c r="I316" s="400">
        <v>81.86399999999999</v>
      </c>
      <c r="J316" s="400">
        <v>81.86399999999999</v>
      </c>
      <c r="K316" s="400">
        <v>81.86399999999999</v>
      </c>
      <c r="L316" s="400">
        <f t="shared" si="62"/>
        <v>70.488</v>
      </c>
      <c r="M316" s="413">
        <f t="shared" si="63"/>
        <v>70.488</v>
      </c>
      <c r="N316" s="413">
        <f t="shared" si="64"/>
        <v>70.488</v>
      </c>
      <c r="O316" s="393">
        <f t="shared" si="65"/>
        <v>40.354084094768339</v>
      </c>
      <c r="P316" s="393">
        <f t="shared" si="66"/>
        <v>59.112000000000002</v>
      </c>
      <c r="Q316" s="393">
        <f t="shared" si="67"/>
        <v>77.31</v>
      </c>
      <c r="R316" s="393">
        <f t="shared" si="68"/>
        <v>81.86399999999999</v>
      </c>
      <c r="S316" s="393">
        <f t="shared" si="69"/>
        <v>79.02</v>
      </c>
      <c r="T316" s="393">
        <f t="shared" si="70"/>
        <v>70.488</v>
      </c>
      <c r="U316" s="413">
        <f t="shared" si="71"/>
        <v>70.488</v>
      </c>
    </row>
    <row r="317" spans="1:21">
      <c r="A317">
        <v>320</v>
      </c>
      <c r="B317">
        <v>311</v>
      </c>
      <c r="C317" t="s">
        <v>140</v>
      </c>
      <c r="D317" s="391">
        <f t="shared" si="61"/>
        <v>2.16</v>
      </c>
      <c r="E317" s="390">
        <v>0.64732035246380892</v>
      </c>
      <c r="F317" s="400">
        <v>0</v>
      </c>
      <c r="G317" s="400">
        <v>3.6000000000000004E-2</v>
      </c>
      <c r="H317" s="400">
        <v>2.16</v>
      </c>
      <c r="I317" s="400">
        <v>2.16</v>
      </c>
      <c r="J317" s="400">
        <v>2.16</v>
      </c>
      <c r="K317" s="400">
        <v>2.16</v>
      </c>
      <c r="L317" s="400">
        <f t="shared" si="62"/>
        <v>1.089</v>
      </c>
      <c r="M317" s="413">
        <f t="shared" si="63"/>
        <v>1.089</v>
      </c>
      <c r="N317" s="413">
        <f t="shared" si="64"/>
        <v>1.089</v>
      </c>
      <c r="O317" s="393">
        <f t="shared" si="65"/>
        <v>0.32366017623190446</v>
      </c>
      <c r="P317" s="393">
        <f t="shared" si="66"/>
        <v>1.8000000000000002E-2</v>
      </c>
      <c r="Q317" s="393">
        <f t="shared" si="67"/>
        <v>1.0980000000000001</v>
      </c>
      <c r="R317" s="393">
        <f t="shared" si="68"/>
        <v>2.16</v>
      </c>
      <c r="S317" s="393">
        <f t="shared" si="69"/>
        <v>1.8922500000000002</v>
      </c>
      <c r="T317" s="393">
        <f t="shared" si="70"/>
        <v>1.089</v>
      </c>
      <c r="U317" s="413">
        <f t="shared" si="71"/>
        <v>1.089</v>
      </c>
    </row>
    <row r="318" spans="1:21">
      <c r="A318">
        <v>261</v>
      </c>
      <c r="B318">
        <v>312</v>
      </c>
      <c r="C318" t="s">
        <v>538</v>
      </c>
      <c r="D318" s="391">
        <f t="shared" si="61"/>
        <v>137.48400000000001</v>
      </c>
      <c r="E318" s="390">
        <v>180.24592991307421</v>
      </c>
      <c r="F318" s="400">
        <v>128.84399999999999</v>
      </c>
      <c r="G318" s="400">
        <v>165.816</v>
      </c>
      <c r="H318" s="400">
        <v>137.48400000000001</v>
      </c>
      <c r="I318" s="400">
        <v>137.48400000000001</v>
      </c>
      <c r="J318" s="400">
        <v>137.48400000000001</v>
      </c>
      <c r="K318" s="400">
        <v>137.48400000000001</v>
      </c>
      <c r="L318" s="400">
        <f t="shared" si="62"/>
        <v>142.40700000000001</v>
      </c>
      <c r="M318" s="413">
        <f t="shared" si="63"/>
        <v>142.40700000000001</v>
      </c>
      <c r="N318" s="413">
        <f t="shared" si="64"/>
        <v>142.40700000000001</v>
      </c>
      <c r="O318" s="393">
        <f t="shared" si="65"/>
        <v>154.54496495653711</v>
      </c>
      <c r="P318" s="393">
        <f t="shared" si="66"/>
        <v>147.32999999999998</v>
      </c>
      <c r="Q318" s="393">
        <f t="shared" si="67"/>
        <v>151.65</v>
      </c>
      <c r="R318" s="393">
        <f t="shared" si="68"/>
        <v>137.48400000000001</v>
      </c>
      <c r="S318" s="393">
        <f t="shared" si="69"/>
        <v>138.71475000000001</v>
      </c>
      <c r="T318" s="393">
        <f t="shared" si="70"/>
        <v>142.40700000000001</v>
      </c>
      <c r="U318" s="413">
        <f t="shared" si="71"/>
        <v>142.40700000000001</v>
      </c>
    </row>
    <row r="319" spans="1:21">
      <c r="A319">
        <v>224</v>
      </c>
      <c r="B319">
        <v>313</v>
      </c>
      <c r="C319" t="s">
        <v>539</v>
      </c>
      <c r="D319" s="391">
        <f t="shared" si="61"/>
        <v>59.687999999999995</v>
      </c>
      <c r="E319" s="390">
        <v>189.5138183558123</v>
      </c>
      <c r="F319" s="400">
        <v>184.536</v>
      </c>
      <c r="G319" s="400">
        <v>80.603999999999999</v>
      </c>
      <c r="H319" s="400">
        <v>59.687999999999995</v>
      </c>
      <c r="I319" s="400">
        <v>59.687999999999995</v>
      </c>
      <c r="J319" s="400">
        <v>59.687999999999995</v>
      </c>
      <c r="K319" s="400">
        <v>59.687999999999995</v>
      </c>
      <c r="L319" s="400">
        <f t="shared" si="62"/>
        <v>96.128999999999991</v>
      </c>
      <c r="M319" s="413">
        <f t="shared" si="63"/>
        <v>96.128999999999991</v>
      </c>
      <c r="N319" s="413">
        <f t="shared" si="64"/>
        <v>96.128999999999991</v>
      </c>
      <c r="O319" s="393">
        <f t="shared" si="65"/>
        <v>187.02490917790615</v>
      </c>
      <c r="P319" s="393">
        <f t="shared" si="66"/>
        <v>132.57</v>
      </c>
      <c r="Q319" s="393">
        <f t="shared" si="67"/>
        <v>70.146000000000001</v>
      </c>
      <c r="R319" s="393">
        <f t="shared" si="68"/>
        <v>59.687999999999995</v>
      </c>
      <c r="S319" s="393">
        <f t="shared" si="69"/>
        <v>68.798249999999996</v>
      </c>
      <c r="T319" s="393">
        <f t="shared" si="70"/>
        <v>96.128999999999991</v>
      </c>
      <c r="U319" s="413">
        <f t="shared" si="71"/>
        <v>96.128999999999991</v>
      </c>
    </row>
    <row r="320" spans="1:21">
      <c r="A320">
        <v>364</v>
      </c>
      <c r="B320">
        <v>314</v>
      </c>
      <c r="C320" t="s">
        <v>27</v>
      </c>
      <c r="D320" s="391">
        <f t="shared" si="61"/>
        <v>0</v>
      </c>
      <c r="E320" s="390">
        <v>0</v>
      </c>
      <c r="F320" s="400">
        <v>0</v>
      </c>
      <c r="G320" s="400">
        <v>0</v>
      </c>
      <c r="H320" s="400">
        <v>0</v>
      </c>
      <c r="I320" s="400">
        <v>0</v>
      </c>
      <c r="J320" s="400">
        <v>0</v>
      </c>
      <c r="K320" s="400">
        <v>0</v>
      </c>
      <c r="L320" s="400">
        <f t="shared" si="62"/>
        <v>0</v>
      </c>
      <c r="M320" s="413">
        <f t="shared" si="63"/>
        <v>0</v>
      </c>
      <c r="N320" s="413">
        <f t="shared" si="64"/>
        <v>0</v>
      </c>
      <c r="O320" s="393">
        <f t="shared" si="65"/>
        <v>0</v>
      </c>
      <c r="P320" s="393">
        <f t="shared" si="66"/>
        <v>0</v>
      </c>
      <c r="Q320" s="393">
        <f t="shared" si="67"/>
        <v>0</v>
      </c>
      <c r="R320" s="393">
        <f t="shared" si="68"/>
        <v>0</v>
      </c>
      <c r="S320" s="393">
        <f t="shared" si="69"/>
        <v>0</v>
      </c>
      <c r="T320" s="393">
        <f t="shared" si="70"/>
        <v>0</v>
      </c>
      <c r="U320" s="413">
        <f t="shared" si="71"/>
        <v>0</v>
      </c>
    </row>
    <row r="321" spans="1:21">
      <c r="A321">
        <v>239</v>
      </c>
      <c r="B321">
        <v>315</v>
      </c>
      <c r="C321" t="s">
        <v>347</v>
      </c>
      <c r="D321" s="391">
        <f t="shared" si="61"/>
        <v>14.364000000000001</v>
      </c>
      <c r="E321" s="390">
        <v>0.8431495655771617</v>
      </c>
      <c r="F321" s="400">
        <v>1.1520000000000001</v>
      </c>
      <c r="G321" s="400">
        <v>4.2480000000000002</v>
      </c>
      <c r="H321" s="400">
        <v>14.364000000000001</v>
      </c>
      <c r="I321" s="400">
        <v>14.364000000000001</v>
      </c>
      <c r="J321" s="400">
        <v>14.364000000000001</v>
      </c>
      <c r="K321" s="400">
        <v>14.364000000000001</v>
      </c>
      <c r="L321" s="400">
        <f t="shared" si="62"/>
        <v>8.532</v>
      </c>
      <c r="M321" s="413">
        <f t="shared" si="63"/>
        <v>8.532</v>
      </c>
      <c r="N321" s="413">
        <f t="shared" si="64"/>
        <v>8.532</v>
      </c>
      <c r="O321" s="393">
        <f t="shared" si="65"/>
        <v>0.99757478278858092</v>
      </c>
      <c r="P321" s="393">
        <f t="shared" si="66"/>
        <v>2.7</v>
      </c>
      <c r="Q321" s="393">
        <f t="shared" si="67"/>
        <v>9.3060000000000009</v>
      </c>
      <c r="R321" s="393">
        <f t="shared" si="68"/>
        <v>14.364000000000001</v>
      </c>
      <c r="S321" s="393">
        <f t="shared" si="69"/>
        <v>12.905999999999999</v>
      </c>
      <c r="T321" s="393">
        <f t="shared" si="70"/>
        <v>8.532</v>
      </c>
      <c r="U321" s="413">
        <f t="shared" si="71"/>
        <v>8.532</v>
      </c>
    </row>
    <row r="322" spans="1:21">
      <c r="A322">
        <v>368</v>
      </c>
      <c r="B322">
        <v>316</v>
      </c>
      <c r="C322" t="s">
        <v>151</v>
      </c>
      <c r="D322" s="391">
        <f t="shared" si="61"/>
        <v>47.628</v>
      </c>
      <c r="E322" s="390">
        <v>85.802579269968717</v>
      </c>
      <c r="F322" s="400">
        <v>51.516000000000005</v>
      </c>
      <c r="G322" s="400">
        <v>50.724000000000004</v>
      </c>
      <c r="H322" s="400">
        <v>47.628</v>
      </c>
      <c r="I322" s="400">
        <v>47.628</v>
      </c>
      <c r="J322" s="400">
        <v>47.628</v>
      </c>
      <c r="K322" s="400">
        <v>47.628</v>
      </c>
      <c r="L322" s="400">
        <f t="shared" si="62"/>
        <v>49.373999999999995</v>
      </c>
      <c r="M322" s="413">
        <f t="shared" si="63"/>
        <v>49.373999999999995</v>
      </c>
      <c r="N322" s="413">
        <f t="shared" si="64"/>
        <v>49.373999999999995</v>
      </c>
      <c r="O322" s="393">
        <f t="shared" si="65"/>
        <v>68.659289634984361</v>
      </c>
      <c r="P322" s="393">
        <f t="shared" si="66"/>
        <v>51.120000000000005</v>
      </c>
      <c r="Q322" s="393">
        <f t="shared" si="67"/>
        <v>49.176000000000002</v>
      </c>
      <c r="R322" s="393">
        <f t="shared" si="68"/>
        <v>47.628</v>
      </c>
      <c r="S322" s="393">
        <f t="shared" si="69"/>
        <v>48.064500000000002</v>
      </c>
      <c r="T322" s="393">
        <f t="shared" si="70"/>
        <v>49.373999999999995</v>
      </c>
      <c r="U322" s="413">
        <f t="shared" si="71"/>
        <v>49.373999999999995</v>
      </c>
    </row>
    <row r="323" spans="1:21">
      <c r="A323">
        <v>182</v>
      </c>
      <c r="B323">
        <v>317</v>
      </c>
      <c r="C323" t="s">
        <v>349</v>
      </c>
      <c r="D323" s="391">
        <f t="shared" si="61"/>
        <v>87.912000000000006</v>
      </c>
      <c r="E323" s="390">
        <v>282.00432734500538</v>
      </c>
      <c r="F323" s="400">
        <v>157.06800000000001</v>
      </c>
      <c r="G323" s="400">
        <v>143.316</v>
      </c>
      <c r="H323" s="400">
        <v>87.912000000000006</v>
      </c>
      <c r="I323" s="400">
        <v>87.912000000000006</v>
      </c>
      <c r="J323" s="400">
        <v>87.912000000000006</v>
      </c>
      <c r="K323" s="400">
        <v>87.912000000000006</v>
      </c>
      <c r="L323" s="400">
        <f t="shared" si="62"/>
        <v>119.05200000000002</v>
      </c>
      <c r="M323" s="413">
        <f t="shared" si="63"/>
        <v>119.05200000000002</v>
      </c>
      <c r="N323" s="413">
        <f t="shared" si="64"/>
        <v>119.05200000000002</v>
      </c>
      <c r="O323" s="393">
        <f t="shared" si="65"/>
        <v>219.53616367250271</v>
      </c>
      <c r="P323" s="393">
        <f t="shared" si="66"/>
        <v>150.19200000000001</v>
      </c>
      <c r="Q323" s="393">
        <f t="shared" si="67"/>
        <v>115.614</v>
      </c>
      <c r="R323" s="393">
        <f t="shared" si="68"/>
        <v>87.912000000000006</v>
      </c>
      <c r="S323" s="393">
        <f t="shared" si="69"/>
        <v>95.697000000000003</v>
      </c>
      <c r="T323" s="393">
        <f t="shared" si="70"/>
        <v>119.05200000000002</v>
      </c>
      <c r="U323" s="413">
        <f t="shared" si="71"/>
        <v>119.05200000000002</v>
      </c>
    </row>
    <row r="324" spans="1:21">
      <c r="A324">
        <v>439</v>
      </c>
      <c r="B324">
        <v>318</v>
      </c>
      <c r="C324" t="s">
        <v>350</v>
      </c>
      <c r="D324" s="391">
        <f t="shared" si="61"/>
        <v>55.116</v>
      </c>
      <c r="E324" s="390">
        <v>84.988704929828017</v>
      </c>
      <c r="F324" s="400">
        <v>56.16</v>
      </c>
      <c r="G324" s="400">
        <v>80.567999999999998</v>
      </c>
      <c r="H324" s="400">
        <v>55.116</v>
      </c>
      <c r="I324" s="400">
        <v>55.116</v>
      </c>
      <c r="J324" s="400">
        <v>55.116</v>
      </c>
      <c r="K324" s="400">
        <v>55.116</v>
      </c>
      <c r="L324" s="400">
        <f t="shared" si="62"/>
        <v>61.739999999999995</v>
      </c>
      <c r="M324" s="413">
        <f t="shared" si="63"/>
        <v>61.739999999999995</v>
      </c>
      <c r="N324" s="413">
        <f t="shared" si="64"/>
        <v>61.739999999999995</v>
      </c>
      <c r="O324" s="393">
        <f t="shared" si="65"/>
        <v>70.574352464914</v>
      </c>
      <c r="P324" s="393">
        <f t="shared" si="66"/>
        <v>68.364000000000004</v>
      </c>
      <c r="Q324" s="393">
        <f t="shared" si="67"/>
        <v>67.841999999999999</v>
      </c>
      <c r="R324" s="393">
        <f t="shared" si="68"/>
        <v>55.116</v>
      </c>
      <c r="S324" s="393">
        <f t="shared" si="69"/>
        <v>56.772000000000006</v>
      </c>
      <c r="T324" s="393">
        <f t="shared" si="70"/>
        <v>61.739999999999995</v>
      </c>
      <c r="U324" s="413">
        <f t="shared" si="71"/>
        <v>61.739999999999995</v>
      </c>
    </row>
    <row r="325" spans="1:21">
      <c r="A325">
        <v>137</v>
      </c>
      <c r="B325">
        <v>319</v>
      </c>
      <c r="C325" t="s">
        <v>351</v>
      </c>
      <c r="D325" s="391">
        <f t="shared" si="61"/>
        <v>108.86399999999999</v>
      </c>
      <c r="E325" s="390">
        <v>150.71575330819954</v>
      </c>
      <c r="F325" s="400">
        <v>105.696</v>
      </c>
      <c r="G325" s="400">
        <v>129.6</v>
      </c>
      <c r="H325" s="400">
        <v>108.86399999999999</v>
      </c>
      <c r="I325" s="400">
        <v>108.86399999999999</v>
      </c>
      <c r="J325" s="400">
        <v>108.86399999999999</v>
      </c>
      <c r="K325" s="400">
        <v>108.86399999999999</v>
      </c>
      <c r="L325" s="400">
        <f t="shared" si="62"/>
        <v>113.25599999999999</v>
      </c>
      <c r="M325" s="413">
        <f t="shared" si="63"/>
        <v>113.25599999999999</v>
      </c>
      <c r="N325" s="413">
        <f t="shared" si="64"/>
        <v>113.25599999999999</v>
      </c>
      <c r="O325" s="393">
        <f t="shared" si="65"/>
        <v>128.20587665409977</v>
      </c>
      <c r="P325" s="393">
        <f t="shared" si="66"/>
        <v>117.648</v>
      </c>
      <c r="Q325" s="393">
        <f t="shared" si="67"/>
        <v>119.232</v>
      </c>
      <c r="R325" s="393">
        <f t="shared" si="68"/>
        <v>108.86399999999999</v>
      </c>
      <c r="S325" s="393">
        <f t="shared" si="69"/>
        <v>109.96199999999999</v>
      </c>
      <c r="T325" s="393">
        <f t="shared" si="70"/>
        <v>113.25599999999999</v>
      </c>
      <c r="U325" s="413">
        <f t="shared" si="71"/>
        <v>113.25599999999999</v>
      </c>
    </row>
    <row r="326" spans="1:21">
      <c r="A326">
        <v>109</v>
      </c>
      <c r="B326">
        <v>320</v>
      </c>
      <c r="C326" t="s">
        <v>352</v>
      </c>
      <c r="D326" s="391">
        <f t="shared" si="61"/>
        <v>13.032</v>
      </c>
      <c r="E326" s="390">
        <v>21.156928021978025</v>
      </c>
      <c r="F326" s="400">
        <v>8.9640000000000004</v>
      </c>
      <c r="G326" s="400">
        <v>8.0640000000000018</v>
      </c>
      <c r="H326" s="400">
        <v>13.032</v>
      </c>
      <c r="I326" s="400">
        <v>13.032</v>
      </c>
      <c r="J326" s="400">
        <v>13.032</v>
      </c>
      <c r="K326" s="400">
        <v>13.032</v>
      </c>
      <c r="L326" s="400">
        <f t="shared" si="62"/>
        <v>10.773</v>
      </c>
      <c r="M326" s="413">
        <f t="shared" si="63"/>
        <v>10.773</v>
      </c>
      <c r="N326" s="413">
        <f t="shared" si="64"/>
        <v>10.773</v>
      </c>
      <c r="O326" s="393">
        <f t="shared" si="65"/>
        <v>15.060464010989012</v>
      </c>
      <c r="P326" s="393">
        <f t="shared" si="66"/>
        <v>8.5140000000000011</v>
      </c>
      <c r="Q326" s="393">
        <f t="shared" si="67"/>
        <v>10.548000000000002</v>
      </c>
      <c r="R326" s="393">
        <f t="shared" si="68"/>
        <v>13.032</v>
      </c>
      <c r="S326" s="393">
        <f t="shared" si="69"/>
        <v>12.46725</v>
      </c>
      <c r="T326" s="393">
        <f t="shared" si="70"/>
        <v>10.773</v>
      </c>
      <c r="U326" s="413">
        <f t="shared" si="71"/>
        <v>10.773</v>
      </c>
    </row>
    <row r="327" spans="1:21">
      <c r="A327">
        <v>90</v>
      </c>
      <c r="B327">
        <v>321</v>
      </c>
      <c r="C327" t="s">
        <v>353</v>
      </c>
      <c r="D327" s="391">
        <f t="shared" ref="D327:D374" si="72">I327</f>
        <v>3.492</v>
      </c>
      <c r="E327" s="390">
        <v>7.0209961538685226</v>
      </c>
      <c r="F327" s="400">
        <v>1.4400000000000002</v>
      </c>
      <c r="G327" s="400">
        <v>0.97200000000000009</v>
      </c>
      <c r="H327" s="400">
        <v>3.492</v>
      </c>
      <c r="I327" s="400">
        <v>3.492</v>
      </c>
      <c r="J327" s="400">
        <v>3.492</v>
      </c>
      <c r="K327" s="400">
        <v>3.492</v>
      </c>
      <c r="L327" s="400">
        <f t="shared" ref="L327:L374" si="73">AVERAGE(F327:I327)</f>
        <v>2.3490000000000002</v>
      </c>
      <c r="M327" s="413">
        <f t="shared" ref="M327:M374" si="74">L327</f>
        <v>2.3490000000000002</v>
      </c>
      <c r="N327" s="413">
        <f t="shared" ref="N327:N374" si="75">L327</f>
        <v>2.3490000000000002</v>
      </c>
      <c r="O327" s="393">
        <f t="shared" ref="O327:O374" si="76">AVERAGE(E327:F327)</f>
        <v>4.2304980769342615</v>
      </c>
      <c r="P327" s="393">
        <f t="shared" ref="P327:P374" si="77">AVERAGE(F327:G327)</f>
        <v>1.2060000000000002</v>
      </c>
      <c r="Q327" s="393">
        <f t="shared" ref="Q327:Q374" si="78">AVERAGE(G327:H327)</f>
        <v>2.2320000000000002</v>
      </c>
      <c r="R327" s="393">
        <f t="shared" ref="R327:R374" si="79">AVERAGE(H327:I327)</f>
        <v>3.492</v>
      </c>
      <c r="S327" s="393">
        <f t="shared" ref="S327:S374" si="80">AVERAGE(I327:L327)</f>
        <v>3.2062499999999998</v>
      </c>
      <c r="T327" s="393">
        <f t="shared" si="70"/>
        <v>2.3490000000000002</v>
      </c>
      <c r="U327" s="413">
        <f t="shared" si="71"/>
        <v>2.3490000000000002</v>
      </c>
    </row>
    <row r="328" spans="1:21">
      <c r="A328">
        <v>225</v>
      </c>
      <c r="B328">
        <v>322</v>
      </c>
      <c r="C328" t="s">
        <v>354</v>
      </c>
      <c r="D328" s="391">
        <f t="shared" si="72"/>
        <v>0</v>
      </c>
      <c r="E328" s="390">
        <v>0</v>
      </c>
      <c r="F328" s="400">
        <v>0</v>
      </c>
      <c r="G328" s="400">
        <v>0</v>
      </c>
      <c r="H328" s="400">
        <v>0</v>
      </c>
      <c r="I328" s="400">
        <v>0</v>
      </c>
      <c r="J328" s="400">
        <v>0</v>
      </c>
      <c r="K328" s="400">
        <v>0</v>
      </c>
      <c r="L328" s="400">
        <f t="shared" si="73"/>
        <v>0</v>
      </c>
      <c r="M328" s="413">
        <f t="shared" si="74"/>
        <v>0</v>
      </c>
      <c r="N328" s="413">
        <f t="shared" si="75"/>
        <v>0</v>
      </c>
      <c r="O328" s="393">
        <f t="shared" si="76"/>
        <v>0</v>
      </c>
      <c r="P328" s="393">
        <f t="shared" si="77"/>
        <v>0</v>
      </c>
      <c r="Q328" s="393">
        <f t="shared" si="78"/>
        <v>0</v>
      </c>
      <c r="R328" s="393">
        <f t="shared" si="79"/>
        <v>0</v>
      </c>
      <c r="S328" s="393">
        <f t="shared" si="80"/>
        <v>0</v>
      </c>
      <c r="T328" s="393">
        <f t="shared" ref="T328:T374" si="81">N328</f>
        <v>0</v>
      </c>
      <c r="U328" s="413">
        <f t="shared" ref="U328:U374" si="82">N328</f>
        <v>0</v>
      </c>
    </row>
    <row r="329" spans="1:21">
      <c r="A329">
        <v>275</v>
      </c>
      <c r="B329">
        <v>323</v>
      </c>
      <c r="C329" t="s">
        <v>578</v>
      </c>
      <c r="D329" s="391">
        <f t="shared" si="72"/>
        <v>0</v>
      </c>
      <c r="E329" s="390">
        <v>0</v>
      </c>
      <c r="F329" s="400">
        <v>0</v>
      </c>
      <c r="G329" s="400">
        <v>0</v>
      </c>
      <c r="H329" s="400">
        <v>0</v>
      </c>
      <c r="I329" s="400">
        <v>0</v>
      </c>
      <c r="J329" s="400">
        <v>0</v>
      </c>
      <c r="K329" s="400">
        <v>0</v>
      </c>
      <c r="L329" s="400">
        <f t="shared" si="73"/>
        <v>0</v>
      </c>
      <c r="M329" s="413">
        <f t="shared" si="74"/>
        <v>0</v>
      </c>
      <c r="N329" s="413">
        <f t="shared" si="75"/>
        <v>0</v>
      </c>
      <c r="O329" s="393">
        <f t="shared" si="76"/>
        <v>0</v>
      </c>
      <c r="P329" s="393">
        <f t="shared" si="77"/>
        <v>0</v>
      </c>
      <c r="Q329" s="393">
        <f t="shared" si="78"/>
        <v>0</v>
      </c>
      <c r="R329" s="393">
        <f t="shared" si="79"/>
        <v>0</v>
      </c>
      <c r="S329" s="393">
        <f t="shared" si="80"/>
        <v>0</v>
      </c>
      <c r="T329" s="393">
        <f t="shared" si="81"/>
        <v>0</v>
      </c>
      <c r="U329" s="413">
        <f t="shared" si="82"/>
        <v>0</v>
      </c>
    </row>
    <row r="330" spans="1:21">
      <c r="A330">
        <v>192</v>
      </c>
      <c r="B330">
        <v>324</v>
      </c>
      <c r="C330" t="s">
        <v>355</v>
      </c>
      <c r="D330" s="391">
        <f t="shared" si="72"/>
        <v>0</v>
      </c>
      <c r="E330" s="390">
        <v>0</v>
      </c>
      <c r="F330" s="400">
        <v>0</v>
      </c>
      <c r="G330" s="400">
        <v>0</v>
      </c>
      <c r="H330" s="400">
        <v>0</v>
      </c>
      <c r="I330" s="400">
        <v>0</v>
      </c>
      <c r="J330" s="400">
        <v>0</v>
      </c>
      <c r="K330" s="400">
        <v>0</v>
      </c>
      <c r="L330" s="400">
        <f t="shared" si="73"/>
        <v>0</v>
      </c>
      <c r="M330" s="413">
        <f t="shared" si="74"/>
        <v>0</v>
      </c>
      <c r="N330" s="413">
        <f t="shared" si="75"/>
        <v>0</v>
      </c>
      <c r="O330" s="393">
        <f t="shared" si="76"/>
        <v>0</v>
      </c>
      <c r="P330" s="393">
        <f t="shared" si="77"/>
        <v>0</v>
      </c>
      <c r="Q330" s="393">
        <f t="shared" si="78"/>
        <v>0</v>
      </c>
      <c r="R330" s="393">
        <f t="shared" si="79"/>
        <v>0</v>
      </c>
      <c r="S330" s="393">
        <f t="shared" si="80"/>
        <v>0</v>
      </c>
      <c r="T330" s="393">
        <f t="shared" si="81"/>
        <v>0</v>
      </c>
      <c r="U330" s="413">
        <f t="shared" si="82"/>
        <v>0</v>
      </c>
    </row>
    <row r="331" spans="1:21">
      <c r="A331">
        <v>425</v>
      </c>
      <c r="B331">
        <v>325</v>
      </c>
      <c r="C331" t="s">
        <v>356</v>
      </c>
      <c r="D331" s="391">
        <f t="shared" si="72"/>
        <v>145.90800000000002</v>
      </c>
      <c r="E331" s="390">
        <v>114.14167346583658</v>
      </c>
      <c r="F331" s="400">
        <v>123.51600000000001</v>
      </c>
      <c r="G331" s="400">
        <v>158.47200000000001</v>
      </c>
      <c r="H331" s="400">
        <v>145.90800000000002</v>
      </c>
      <c r="I331" s="400">
        <v>145.90800000000002</v>
      </c>
      <c r="J331" s="400">
        <v>145.90800000000002</v>
      </c>
      <c r="K331" s="400">
        <v>145.90800000000002</v>
      </c>
      <c r="L331" s="400">
        <f t="shared" si="73"/>
        <v>143.45100000000002</v>
      </c>
      <c r="M331" s="413">
        <f t="shared" si="74"/>
        <v>143.45100000000002</v>
      </c>
      <c r="N331" s="413">
        <f t="shared" si="75"/>
        <v>143.45100000000002</v>
      </c>
      <c r="O331" s="393">
        <f t="shared" si="76"/>
        <v>118.82883673291829</v>
      </c>
      <c r="P331" s="393">
        <f t="shared" si="77"/>
        <v>140.994</v>
      </c>
      <c r="Q331" s="393">
        <f t="shared" si="78"/>
        <v>152.19</v>
      </c>
      <c r="R331" s="393">
        <f t="shared" si="79"/>
        <v>145.90800000000002</v>
      </c>
      <c r="S331" s="393">
        <f t="shared" si="80"/>
        <v>145.29375000000002</v>
      </c>
      <c r="T331" s="393">
        <f t="shared" si="81"/>
        <v>143.45100000000002</v>
      </c>
      <c r="U331" s="413">
        <f t="shared" si="82"/>
        <v>143.45100000000002</v>
      </c>
    </row>
    <row r="332" spans="1:21">
      <c r="A332">
        <v>357</v>
      </c>
      <c r="B332">
        <v>326</v>
      </c>
      <c r="C332" t="s">
        <v>358</v>
      </c>
      <c r="D332" s="391">
        <f t="shared" si="72"/>
        <v>119.84399999999999</v>
      </c>
      <c r="E332" s="390">
        <v>122.0068364512244</v>
      </c>
      <c r="F332" s="400">
        <v>131.79599999999999</v>
      </c>
      <c r="G332" s="400">
        <v>129.31200000000001</v>
      </c>
      <c r="H332" s="400">
        <v>119.84399999999999</v>
      </c>
      <c r="I332" s="400">
        <v>119.84399999999999</v>
      </c>
      <c r="J332" s="400">
        <v>119.84399999999999</v>
      </c>
      <c r="K332" s="400">
        <v>119.84399999999999</v>
      </c>
      <c r="L332" s="400">
        <f t="shared" si="73"/>
        <v>125.199</v>
      </c>
      <c r="M332" s="413">
        <f t="shared" si="74"/>
        <v>125.199</v>
      </c>
      <c r="N332" s="413">
        <f t="shared" si="75"/>
        <v>125.199</v>
      </c>
      <c r="O332" s="393">
        <f t="shared" si="76"/>
        <v>126.90141822561219</v>
      </c>
      <c r="P332" s="393">
        <f t="shared" si="77"/>
        <v>130.554</v>
      </c>
      <c r="Q332" s="393">
        <f t="shared" si="78"/>
        <v>124.578</v>
      </c>
      <c r="R332" s="393">
        <f t="shared" si="79"/>
        <v>119.84399999999999</v>
      </c>
      <c r="S332" s="393">
        <f t="shared" si="80"/>
        <v>121.18275</v>
      </c>
      <c r="T332" s="393">
        <f t="shared" si="81"/>
        <v>125.199</v>
      </c>
      <c r="U332" s="413">
        <f t="shared" si="82"/>
        <v>125.199</v>
      </c>
    </row>
    <row r="333" spans="1:21">
      <c r="A333">
        <v>81</v>
      </c>
      <c r="B333">
        <v>327</v>
      </c>
      <c r="C333" t="s">
        <v>540</v>
      </c>
      <c r="D333" s="391">
        <f t="shared" si="72"/>
        <v>0</v>
      </c>
      <c r="E333" s="390">
        <v>0</v>
      </c>
      <c r="F333" s="400">
        <v>0</v>
      </c>
      <c r="G333" s="400">
        <v>0</v>
      </c>
      <c r="H333" s="400">
        <v>0</v>
      </c>
      <c r="I333" s="400">
        <v>0</v>
      </c>
      <c r="J333" s="400">
        <v>0</v>
      </c>
      <c r="K333" s="400">
        <v>0</v>
      </c>
      <c r="L333" s="400">
        <f t="shared" si="73"/>
        <v>0</v>
      </c>
      <c r="M333" s="413">
        <f t="shared" si="74"/>
        <v>0</v>
      </c>
      <c r="N333" s="413">
        <f t="shared" si="75"/>
        <v>0</v>
      </c>
      <c r="O333" s="393">
        <f t="shared" si="76"/>
        <v>0</v>
      </c>
      <c r="P333" s="393">
        <f t="shared" si="77"/>
        <v>0</v>
      </c>
      <c r="Q333" s="393">
        <f t="shared" si="78"/>
        <v>0</v>
      </c>
      <c r="R333" s="393">
        <f t="shared" si="79"/>
        <v>0</v>
      </c>
      <c r="S333" s="393">
        <f t="shared" si="80"/>
        <v>0</v>
      </c>
      <c r="T333" s="393">
        <f t="shared" si="81"/>
        <v>0</v>
      </c>
      <c r="U333" s="413">
        <f t="shared" si="82"/>
        <v>0</v>
      </c>
    </row>
    <row r="334" spans="1:21">
      <c r="A334">
        <v>331</v>
      </c>
      <c r="B334">
        <v>328</v>
      </c>
      <c r="C334" t="s">
        <v>29</v>
      </c>
      <c r="D334" s="391">
        <f t="shared" si="72"/>
        <v>129.52799999999999</v>
      </c>
      <c r="E334" s="390">
        <v>119.38927156966149</v>
      </c>
      <c r="F334" s="400">
        <v>132.15600000000001</v>
      </c>
      <c r="G334" s="400">
        <v>128.196</v>
      </c>
      <c r="H334" s="400">
        <v>129.52799999999999</v>
      </c>
      <c r="I334" s="400">
        <v>129.52799999999999</v>
      </c>
      <c r="J334" s="400">
        <v>129.52799999999999</v>
      </c>
      <c r="K334" s="400">
        <v>129.52799999999999</v>
      </c>
      <c r="L334" s="400">
        <f t="shared" si="73"/>
        <v>129.852</v>
      </c>
      <c r="M334" s="413">
        <f t="shared" si="74"/>
        <v>129.852</v>
      </c>
      <c r="N334" s="413">
        <f t="shared" si="75"/>
        <v>129.852</v>
      </c>
      <c r="O334" s="393">
        <f t="shared" si="76"/>
        <v>125.77263578483075</v>
      </c>
      <c r="P334" s="393">
        <f t="shared" si="77"/>
        <v>130.17599999999999</v>
      </c>
      <c r="Q334" s="393">
        <f t="shared" si="78"/>
        <v>128.86199999999999</v>
      </c>
      <c r="R334" s="393">
        <f t="shared" si="79"/>
        <v>129.52799999999999</v>
      </c>
      <c r="S334" s="393">
        <f t="shared" si="80"/>
        <v>129.60899999999998</v>
      </c>
      <c r="T334" s="393">
        <f t="shared" si="81"/>
        <v>129.852</v>
      </c>
      <c r="U334" s="413">
        <f t="shared" si="82"/>
        <v>129.852</v>
      </c>
    </row>
    <row r="335" spans="1:21">
      <c r="A335">
        <v>115</v>
      </c>
      <c r="B335">
        <v>329</v>
      </c>
      <c r="C335" t="s">
        <v>359</v>
      </c>
      <c r="D335" s="391">
        <f t="shared" si="72"/>
        <v>2.4120000000000004</v>
      </c>
      <c r="E335" s="390">
        <v>1.6756978992632359</v>
      </c>
      <c r="F335" s="400">
        <v>0.82800000000000007</v>
      </c>
      <c r="G335" s="400">
        <v>0.108</v>
      </c>
      <c r="H335" s="400">
        <v>2.4120000000000004</v>
      </c>
      <c r="I335" s="400">
        <v>2.4120000000000004</v>
      </c>
      <c r="J335" s="400">
        <v>2.4120000000000004</v>
      </c>
      <c r="K335" s="400">
        <v>2.4120000000000004</v>
      </c>
      <c r="L335" s="400">
        <f t="shared" si="73"/>
        <v>1.4400000000000002</v>
      </c>
      <c r="M335" s="413">
        <f t="shared" si="74"/>
        <v>1.4400000000000002</v>
      </c>
      <c r="N335" s="413">
        <f t="shared" si="75"/>
        <v>1.4400000000000002</v>
      </c>
      <c r="O335" s="393">
        <f t="shared" si="76"/>
        <v>1.2518489496316181</v>
      </c>
      <c r="P335" s="393">
        <f t="shared" si="77"/>
        <v>0.46800000000000003</v>
      </c>
      <c r="Q335" s="393">
        <f t="shared" si="78"/>
        <v>1.2600000000000002</v>
      </c>
      <c r="R335" s="393">
        <f t="shared" si="79"/>
        <v>2.4120000000000004</v>
      </c>
      <c r="S335" s="393">
        <f t="shared" si="80"/>
        <v>2.169</v>
      </c>
      <c r="T335" s="393">
        <f t="shared" si="81"/>
        <v>1.4400000000000002</v>
      </c>
      <c r="U335" s="413">
        <f t="shared" si="82"/>
        <v>1.4400000000000002</v>
      </c>
    </row>
    <row r="336" spans="1:21">
      <c r="A336">
        <v>153</v>
      </c>
      <c r="B336">
        <v>330</v>
      </c>
      <c r="C336" t="s">
        <v>360</v>
      </c>
      <c r="D336" s="391">
        <f t="shared" si="72"/>
        <v>1.8</v>
      </c>
      <c r="E336" s="390">
        <v>1.9425118530647112</v>
      </c>
      <c r="F336" s="400">
        <v>1.9080000000000001</v>
      </c>
      <c r="G336" s="400">
        <v>2.52</v>
      </c>
      <c r="H336" s="400">
        <v>1.8</v>
      </c>
      <c r="I336" s="400">
        <v>1.8</v>
      </c>
      <c r="J336" s="400">
        <v>1.8</v>
      </c>
      <c r="K336" s="400">
        <v>1.8</v>
      </c>
      <c r="L336" s="400">
        <f t="shared" si="73"/>
        <v>2.0070000000000001</v>
      </c>
      <c r="M336" s="413">
        <f t="shared" si="74"/>
        <v>2.0070000000000001</v>
      </c>
      <c r="N336" s="413">
        <f t="shared" si="75"/>
        <v>2.0070000000000001</v>
      </c>
      <c r="O336" s="393">
        <f t="shared" si="76"/>
        <v>1.9252559265323557</v>
      </c>
      <c r="P336" s="393">
        <f t="shared" si="77"/>
        <v>2.214</v>
      </c>
      <c r="Q336" s="393">
        <f t="shared" si="78"/>
        <v>2.16</v>
      </c>
      <c r="R336" s="393">
        <f t="shared" si="79"/>
        <v>1.8</v>
      </c>
      <c r="S336" s="393">
        <f t="shared" si="80"/>
        <v>1.85175</v>
      </c>
      <c r="T336" s="393">
        <f t="shared" si="81"/>
        <v>2.0070000000000001</v>
      </c>
      <c r="U336" s="413">
        <f t="shared" si="82"/>
        <v>2.0070000000000001</v>
      </c>
    </row>
    <row r="337" spans="1:21">
      <c r="A337">
        <v>299</v>
      </c>
      <c r="B337">
        <v>331</v>
      </c>
      <c r="C337" t="s">
        <v>361</v>
      </c>
      <c r="D337" s="391">
        <f t="shared" si="72"/>
        <v>0</v>
      </c>
      <c r="E337" s="390">
        <v>0</v>
      </c>
      <c r="F337" s="400">
        <v>0</v>
      </c>
      <c r="G337" s="400">
        <v>0</v>
      </c>
      <c r="H337" s="400">
        <v>0</v>
      </c>
      <c r="I337" s="400">
        <v>0</v>
      </c>
      <c r="J337" s="400">
        <v>0</v>
      </c>
      <c r="K337" s="400">
        <v>0</v>
      </c>
      <c r="L337" s="400">
        <f t="shared" si="73"/>
        <v>0</v>
      </c>
      <c r="M337" s="413">
        <f t="shared" si="74"/>
        <v>0</v>
      </c>
      <c r="N337" s="413">
        <f t="shared" si="75"/>
        <v>0</v>
      </c>
      <c r="O337" s="393">
        <f t="shared" si="76"/>
        <v>0</v>
      </c>
      <c r="P337" s="393">
        <f t="shared" si="77"/>
        <v>0</v>
      </c>
      <c r="Q337" s="393">
        <f t="shared" si="78"/>
        <v>0</v>
      </c>
      <c r="R337" s="393">
        <f t="shared" si="79"/>
        <v>0</v>
      </c>
      <c r="S337" s="393">
        <f t="shared" si="80"/>
        <v>0</v>
      </c>
      <c r="T337" s="393">
        <f t="shared" si="81"/>
        <v>0</v>
      </c>
      <c r="U337" s="413">
        <f t="shared" si="82"/>
        <v>0</v>
      </c>
    </row>
    <row r="338" spans="1:21">
      <c r="A338">
        <v>248</v>
      </c>
      <c r="B338">
        <v>332</v>
      </c>
      <c r="C338" t="s">
        <v>362</v>
      </c>
      <c r="D338" s="391">
        <f t="shared" si="72"/>
        <v>6.3</v>
      </c>
      <c r="E338" s="390">
        <v>1.9259467727133683</v>
      </c>
      <c r="F338" s="400">
        <v>3.8520000000000003</v>
      </c>
      <c r="G338" s="400">
        <v>1.9080000000000001</v>
      </c>
      <c r="H338" s="400">
        <v>6.3</v>
      </c>
      <c r="I338" s="400">
        <v>6.3</v>
      </c>
      <c r="J338" s="400">
        <v>6.3</v>
      </c>
      <c r="K338" s="400">
        <v>6.3</v>
      </c>
      <c r="L338" s="400">
        <f t="shared" si="73"/>
        <v>4.59</v>
      </c>
      <c r="M338" s="413">
        <f t="shared" si="74"/>
        <v>4.59</v>
      </c>
      <c r="N338" s="413">
        <f t="shared" si="75"/>
        <v>4.59</v>
      </c>
      <c r="O338" s="393">
        <f t="shared" si="76"/>
        <v>2.8889733863566844</v>
      </c>
      <c r="P338" s="393">
        <f t="shared" si="77"/>
        <v>2.8800000000000003</v>
      </c>
      <c r="Q338" s="393">
        <f t="shared" si="78"/>
        <v>4.1040000000000001</v>
      </c>
      <c r="R338" s="393">
        <f t="shared" si="79"/>
        <v>6.3</v>
      </c>
      <c r="S338" s="393">
        <f t="shared" si="80"/>
        <v>5.8724999999999996</v>
      </c>
      <c r="T338" s="393">
        <f t="shared" si="81"/>
        <v>4.59</v>
      </c>
      <c r="U338" s="413">
        <f t="shared" si="82"/>
        <v>4.59</v>
      </c>
    </row>
    <row r="339" spans="1:21">
      <c r="A339">
        <v>155</v>
      </c>
      <c r="B339">
        <v>333</v>
      </c>
      <c r="C339" t="s">
        <v>363</v>
      </c>
      <c r="D339" s="391">
        <f t="shared" si="72"/>
        <v>0.108</v>
      </c>
      <c r="E339" s="390">
        <v>1.8798574722280443</v>
      </c>
      <c r="F339" s="400">
        <v>0.216</v>
      </c>
      <c r="G339" s="400">
        <v>7.2000000000000008E-2</v>
      </c>
      <c r="H339" s="400">
        <v>0.108</v>
      </c>
      <c r="I339" s="400">
        <v>0.108</v>
      </c>
      <c r="J339" s="400">
        <v>0.108</v>
      </c>
      <c r="K339" s="400">
        <v>0.108</v>
      </c>
      <c r="L339" s="400">
        <f t="shared" si="73"/>
        <v>0.126</v>
      </c>
      <c r="M339" s="413">
        <f t="shared" si="74"/>
        <v>0.126</v>
      </c>
      <c r="N339" s="413">
        <f t="shared" si="75"/>
        <v>0.126</v>
      </c>
      <c r="O339" s="393">
        <f t="shared" si="76"/>
        <v>1.0479287361140222</v>
      </c>
      <c r="P339" s="393">
        <f t="shared" si="77"/>
        <v>0.14400000000000002</v>
      </c>
      <c r="Q339" s="393">
        <f t="shared" si="78"/>
        <v>0.09</v>
      </c>
      <c r="R339" s="393">
        <f t="shared" si="79"/>
        <v>0.108</v>
      </c>
      <c r="S339" s="393">
        <f t="shared" si="80"/>
        <v>0.1125</v>
      </c>
      <c r="T339" s="393">
        <f t="shared" si="81"/>
        <v>0.126</v>
      </c>
      <c r="U339" s="413">
        <f t="shared" si="82"/>
        <v>0.126</v>
      </c>
    </row>
    <row r="340" spans="1:21">
      <c r="A340">
        <v>189</v>
      </c>
      <c r="B340">
        <v>334</v>
      </c>
      <c r="C340" t="s">
        <v>229</v>
      </c>
      <c r="D340" s="391">
        <f t="shared" si="72"/>
        <v>154.404</v>
      </c>
      <c r="E340" s="390">
        <v>145.85950995173272</v>
      </c>
      <c r="F340" s="400">
        <v>115.884</v>
      </c>
      <c r="G340" s="400">
        <v>159.62400000000002</v>
      </c>
      <c r="H340" s="400">
        <v>154.404</v>
      </c>
      <c r="I340" s="400">
        <v>154.404</v>
      </c>
      <c r="J340" s="400">
        <v>154.404</v>
      </c>
      <c r="K340" s="400">
        <v>154.404</v>
      </c>
      <c r="L340" s="400">
        <f t="shared" si="73"/>
        <v>146.07900000000001</v>
      </c>
      <c r="M340" s="413">
        <f t="shared" si="74"/>
        <v>146.07900000000001</v>
      </c>
      <c r="N340" s="413">
        <f t="shared" si="75"/>
        <v>146.07900000000001</v>
      </c>
      <c r="O340" s="393">
        <f t="shared" si="76"/>
        <v>130.87175497586637</v>
      </c>
      <c r="P340" s="393">
        <f t="shared" si="77"/>
        <v>137.75400000000002</v>
      </c>
      <c r="Q340" s="393">
        <f t="shared" si="78"/>
        <v>157.01400000000001</v>
      </c>
      <c r="R340" s="393">
        <f t="shared" si="79"/>
        <v>154.404</v>
      </c>
      <c r="S340" s="393">
        <f t="shared" si="80"/>
        <v>152.32274999999998</v>
      </c>
      <c r="T340" s="393">
        <f t="shared" si="81"/>
        <v>146.07900000000001</v>
      </c>
      <c r="U340" s="413">
        <f t="shared" si="82"/>
        <v>146.07900000000001</v>
      </c>
    </row>
    <row r="341" spans="1:21">
      <c r="A341">
        <v>294</v>
      </c>
      <c r="B341">
        <v>335</v>
      </c>
      <c r="C341" t="s">
        <v>364</v>
      </c>
      <c r="D341" s="391">
        <f t="shared" si="72"/>
        <v>32.22</v>
      </c>
      <c r="E341" s="390">
        <v>206.50032771050607</v>
      </c>
      <c r="F341" s="400">
        <v>34.956000000000003</v>
      </c>
      <c r="G341" s="400">
        <v>19.728000000000002</v>
      </c>
      <c r="H341" s="400">
        <v>32.22</v>
      </c>
      <c r="I341" s="400">
        <v>32.22</v>
      </c>
      <c r="J341" s="400">
        <v>32.22</v>
      </c>
      <c r="K341" s="400">
        <v>32.22</v>
      </c>
      <c r="L341" s="400">
        <f t="shared" si="73"/>
        <v>29.780999999999999</v>
      </c>
      <c r="M341" s="413">
        <f t="shared" si="74"/>
        <v>29.780999999999999</v>
      </c>
      <c r="N341" s="413">
        <f t="shared" si="75"/>
        <v>29.780999999999999</v>
      </c>
      <c r="O341" s="393">
        <f t="shared" si="76"/>
        <v>120.72816385525303</v>
      </c>
      <c r="P341" s="393">
        <f t="shared" si="77"/>
        <v>27.342000000000002</v>
      </c>
      <c r="Q341" s="393">
        <f t="shared" si="78"/>
        <v>25.974</v>
      </c>
      <c r="R341" s="393">
        <f t="shared" si="79"/>
        <v>32.22</v>
      </c>
      <c r="S341" s="393">
        <f t="shared" si="80"/>
        <v>31.610250000000001</v>
      </c>
      <c r="T341" s="393">
        <f t="shared" si="81"/>
        <v>29.780999999999999</v>
      </c>
      <c r="U341" s="413">
        <f t="shared" si="82"/>
        <v>29.780999999999999</v>
      </c>
    </row>
    <row r="342" spans="1:21">
      <c r="A342">
        <v>238</v>
      </c>
      <c r="B342">
        <v>336</v>
      </c>
      <c r="C342" t="s">
        <v>18</v>
      </c>
      <c r="D342" s="391">
        <f t="shared" si="72"/>
        <v>53.963999999999999</v>
      </c>
      <c r="E342" s="390">
        <v>199.20044921211573</v>
      </c>
      <c r="F342" s="400">
        <v>195.696</v>
      </c>
      <c r="G342" s="400">
        <v>143.85599999999999</v>
      </c>
      <c r="H342" s="400">
        <v>53.963999999999999</v>
      </c>
      <c r="I342" s="400">
        <v>53.963999999999999</v>
      </c>
      <c r="J342" s="400">
        <v>53.963999999999999</v>
      </c>
      <c r="K342" s="400">
        <v>53.963999999999999</v>
      </c>
      <c r="L342" s="400">
        <f t="shared" si="73"/>
        <v>111.87</v>
      </c>
      <c r="M342" s="413">
        <f t="shared" si="74"/>
        <v>111.87</v>
      </c>
      <c r="N342" s="413">
        <f t="shared" si="75"/>
        <v>111.87</v>
      </c>
      <c r="O342" s="393">
        <f t="shared" si="76"/>
        <v>197.44822460605786</v>
      </c>
      <c r="P342" s="393">
        <f t="shared" si="77"/>
        <v>169.77600000000001</v>
      </c>
      <c r="Q342" s="393">
        <f t="shared" si="78"/>
        <v>98.91</v>
      </c>
      <c r="R342" s="393">
        <f t="shared" si="79"/>
        <v>53.963999999999999</v>
      </c>
      <c r="S342" s="393">
        <f t="shared" si="80"/>
        <v>68.4405</v>
      </c>
      <c r="T342" s="393">
        <f t="shared" si="81"/>
        <v>111.87</v>
      </c>
      <c r="U342" s="413">
        <f t="shared" si="82"/>
        <v>111.87</v>
      </c>
    </row>
    <row r="343" spans="1:21">
      <c r="A343">
        <v>157</v>
      </c>
      <c r="B343">
        <v>337</v>
      </c>
      <c r="C343" t="s">
        <v>230</v>
      </c>
      <c r="D343" s="391">
        <f t="shared" si="72"/>
        <v>54.468000000000004</v>
      </c>
      <c r="E343" s="390">
        <v>70.982153576490319</v>
      </c>
      <c r="F343" s="400">
        <v>62.82</v>
      </c>
      <c r="G343" s="400">
        <v>43.2</v>
      </c>
      <c r="H343" s="400">
        <v>54.468000000000004</v>
      </c>
      <c r="I343" s="400">
        <v>54.468000000000004</v>
      </c>
      <c r="J343" s="400">
        <v>54.468000000000004</v>
      </c>
      <c r="K343" s="400">
        <v>54.468000000000004</v>
      </c>
      <c r="L343" s="400">
        <f t="shared" si="73"/>
        <v>53.739000000000004</v>
      </c>
      <c r="M343" s="413">
        <f t="shared" si="74"/>
        <v>53.739000000000004</v>
      </c>
      <c r="N343" s="413">
        <f t="shared" si="75"/>
        <v>53.739000000000004</v>
      </c>
      <c r="O343" s="393">
        <f t="shared" si="76"/>
        <v>66.901076788245163</v>
      </c>
      <c r="P343" s="393">
        <f t="shared" si="77"/>
        <v>53.010000000000005</v>
      </c>
      <c r="Q343" s="393">
        <f t="shared" si="78"/>
        <v>48.834000000000003</v>
      </c>
      <c r="R343" s="393">
        <f t="shared" si="79"/>
        <v>54.468000000000004</v>
      </c>
      <c r="S343" s="393">
        <f t="shared" si="80"/>
        <v>54.28575</v>
      </c>
      <c r="T343" s="393">
        <f t="shared" si="81"/>
        <v>53.739000000000004</v>
      </c>
      <c r="U343" s="413">
        <f t="shared" si="82"/>
        <v>53.739000000000004</v>
      </c>
    </row>
    <row r="344" spans="1:21">
      <c r="A344">
        <v>336</v>
      </c>
      <c r="B344">
        <v>338</v>
      </c>
      <c r="C344" t="s">
        <v>541</v>
      </c>
      <c r="D344" s="391">
        <f t="shared" si="72"/>
        <v>19.764000000000003</v>
      </c>
      <c r="E344" s="390">
        <v>36.875390520160273</v>
      </c>
      <c r="F344" s="400">
        <v>22.356000000000002</v>
      </c>
      <c r="G344" s="400">
        <v>10.907999999999999</v>
      </c>
      <c r="H344" s="400">
        <v>19.764000000000003</v>
      </c>
      <c r="I344" s="400">
        <v>19.764000000000003</v>
      </c>
      <c r="J344" s="400">
        <v>19.764000000000003</v>
      </c>
      <c r="K344" s="400">
        <v>19.764000000000003</v>
      </c>
      <c r="L344" s="400">
        <f t="shared" si="73"/>
        <v>18.198</v>
      </c>
      <c r="M344" s="413">
        <f t="shared" si="74"/>
        <v>18.198</v>
      </c>
      <c r="N344" s="413">
        <f t="shared" si="75"/>
        <v>18.198</v>
      </c>
      <c r="O344" s="393">
        <f t="shared" si="76"/>
        <v>29.615695260080138</v>
      </c>
      <c r="P344" s="393">
        <f t="shared" si="77"/>
        <v>16.632000000000001</v>
      </c>
      <c r="Q344" s="393">
        <f t="shared" si="78"/>
        <v>15.336000000000002</v>
      </c>
      <c r="R344" s="393">
        <f t="shared" si="79"/>
        <v>19.764000000000003</v>
      </c>
      <c r="S344" s="393">
        <f t="shared" si="80"/>
        <v>19.372500000000002</v>
      </c>
      <c r="T344" s="393">
        <f t="shared" si="81"/>
        <v>18.198</v>
      </c>
      <c r="U344" s="413">
        <f t="shared" si="82"/>
        <v>18.198</v>
      </c>
    </row>
    <row r="345" spans="1:21">
      <c r="A345">
        <v>433</v>
      </c>
      <c r="B345">
        <v>339</v>
      </c>
      <c r="C345" t="s">
        <v>365</v>
      </c>
      <c r="D345" s="391">
        <f t="shared" si="72"/>
        <v>0</v>
      </c>
      <c r="E345" s="390">
        <v>4.6805822116313518</v>
      </c>
      <c r="F345" s="400">
        <v>6.84</v>
      </c>
      <c r="G345" s="400">
        <v>1.6919999999999999</v>
      </c>
      <c r="H345" s="400">
        <v>0</v>
      </c>
      <c r="I345" s="400">
        <v>0</v>
      </c>
      <c r="J345" s="400">
        <v>0</v>
      </c>
      <c r="K345" s="400">
        <v>0</v>
      </c>
      <c r="L345" s="400">
        <f t="shared" si="73"/>
        <v>2.133</v>
      </c>
      <c r="M345" s="413">
        <f t="shared" si="74"/>
        <v>2.133</v>
      </c>
      <c r="N345" s="413">
        <f t="shared" si="75"/>
        <v>2.133</v>
      </c>
      <c r="O345" s="393">
        <f t="shared" si="76"/>
        <v>5.7602911058156758</v>
      </c>
      <c r="P345" s="393">
        <f t="shared" si="77"/>
        <v>4.266</v>
      </c>
      <c r="Q345" s="393">
        <f t="shared" si="78"/>
        <v>0.84599999999999997</v>
      </c>
      <c r="R345" s="393">
        <f t="shared" si="79"/>
        <v>0</v>
      </c>
      <c r="S345" s="393">
        <f t="shared" si="80"/>
        <v>0.53325</v>
      </c>
      <c r="T345" s="393">
        <f t="shared" si="81"/>
        <v>2.133</v>
      </c>
      <c r="U345" s="413">
        <f t="shared" si="82"/>
        <v>2.133</v>
      </c>
    </row>
    <row r="346" spans="1:21">
      <c r="A346">
        <v>135</v>
      </c>
      <c r="B346">
        <v>340</v>
      </c>
      <c r="C346" t="s">
        <v>366</v>
      </c>
      <c r="D346" s="391">
        <f t="shared" si="72"/>
        <v>139.03199999999998</v>
      </c>
      <c r="E346" s="390">
        <v>149.89976244409019</v>
      </c>
      <c r="F346" s="400">
        <v>142.74</v>
      </c>
      <c r="G346" s="400">
        <v>137.41200000000001</v>
      </c>
      <c r="H346" s="400">
        <v>139.03199999999998</v>
      </c>
      <c r="I346" s="400">
        <v>139.03199999999998</v>
      </c>
      <c r="J346" s="400">
        <v>139.03199999999998</v>
      </c>
      <c r="K346" s="400">
        <v>139.03199999999998</v>
      </c>
      <c r="L346" s="400">
        <f t="shared" si="73"/>
        <v>139.554</v>
      </c>
      <c r="M346" s="413">
        <f t="shared" si="74"/>
        <v>139.554</v>
      </c>
      <c r="N346" s="413">
        <f t="shared" si="75"/>
        <v>139.554</v>
      </c>
      <c r="O346" s="393">
        <f t="shared" si="76"/>
        <v>146.3198812220451</v>
      </c>
      <c r="P346" s="393">
        <f t="shared" si="77"/>
        <v>140.07600000000002</v>
      </c>
      <c r="Q346" s="393">
        <f t="shared" si="78"/>
        <v>138.22199999999998</v>
      </c>
      <c r="R346" s="393">
        <f t="shared" si="79"/>
        <v>139.03199999999998</v>
      </c>
      <c r="S346" s="393">
        <f t="shared" si="80"/>
        <v>139.16249999999999</v>
      </c>
      <c r="T346" s="393">
        <f t="shared" si="81"/>
        <v>139.554</v>
      </c>
      <c r="U346" s="413">
        <f t="shared" si="82"/>
        <v>139.554</v>
      </c>
    </row>
    <row r="347" spans="1:21">
      <c r="A347">
        <v>188</v>
      </c>
      <c r="B347">
        <v>341</v>
      </c>
      <c r="C347" t="s">
        <v>367</v>
      </c>
      <c r="D347" s="391">
        <f t="shared" si="72"/>
        <v>68.975999999999999</v>
      </c>
      <c r="E347" s="390">
        <v>118.40133514662439</v>
      </c>
      <c r="F347" s="400">
        <v>107.712</v>
      </c>
      <c r="G347" s="400">
        <v>66.671999999999997</v>
      </c>
      <c r="H347" s="400">
        <v>68.975999999999999</v>
      </c>
      <c r="I347" s="400">
        <v>68.975999999999999</v>
      </c>
      <c r="J347" s="400">
        <v>68.975999999999999</v>
      </c>
      <c r="K347" s="400">
        <v>68.975999999999999</v>
      </c>
      <c r="L347" s="400">
        <f t="shared" si="73"/>
        <v>78.084000000000003</v>
      </c>
      <c r="M347" s="413">
        <f t="shared" si="74"/>
        <v>78.084000000000003</v>
      </c>
      <c r="N347" s="413">
        <f t="shared" si="75"/>
        <v>78.084000000000003</v>
      </c>
      <c r="O347" s="393">
        <f t="shared" si="76"/>
        <v>113.0566675733122</v>
      </c>
      <c r="P347" s="393">
        <f t="shared" si="77"/>
        <v>87.192000000000007</v>
      </c>
      <c r="Q347" s="393">
        <f t="shared" si="78"/>
        <v>67.823999999999998</v>
      </c>
      <c r="R347" s="393">
        <f t="shared" si="79"/>
        <v>68.975999999999999</v>
      </c>
      <c r="S347" s="393">
        <f t="shared" si="80"/>
        <v>71.253</v>
      </c>
      <c r="T347" s="393">
        <f t="shared" si="81"/>
        <v>78.084000000000003</v>
      </c>
      <c r="U347" s="413">
        <f t="shared" si="82"/>
        <v>78.084000000000003</v>
      </c>
    </row>
    <row r="348" spans="1:21">
      <c r="A348">
        <v>391</v>
      </c>
      <c r="B348">
        <v>342</v>
      </c>
      <c r="C348" t="s">
        <v>368</v>
      </c>
      <c r="D348" s="391">
        <f t="shared" si="72"/>
        <v>2.16</v>
      </c>
      <c r="E348" s="390">
        <v>3.2898699642202045</v>
      </c>
      <c r="F348" s="400">
        <v>3.8160000000000003</v>
      </c>
      <c r="G348" s="400">
        <v>0.57600000000000007</v>
      </c>
      <c r="H348" s="400">
        <v>2.16</v>
      </c>
      <c r="I348" s="400">
        <v>2.16</v>
      </c>
      <c r="J348" s="400">
        <v>2.16</v>
      </c>
      <c r="K348" s="400">
        <v>2.16</v>
      </c>
      <c r="L348" s="400">
        <f t="shared" si="73"/>
        <v>2.1779999999999999</v>
      </c>
      <c r="M348" s="413">
        <f t="shared" si="74"/>
        <v>2.1779999999999999</v>
      </c>
      <c r="N348" s="413">
        <f t="shared" si="75"/>
        <v>2.1779999999999999</v>
      </c>
      <c r="O348" s="393">
        <f t="shared" si="76"/>
        <v>3.5529349821101022</v>
      </c>
      <c r="P348" s="393">
        <f t="shared" si="77"/>
        <v>2.1960000000000002</v>
      </c>
      <c r="Q348" s="393">
        <f t="shared" si="78"/>
        <v>1.3680000000000001</v>
      </c>
      <c r="R348" s="393">
        <f t="shared" si="79"/>
        <v>2.16</v>
      </c>
      <c r="S348" s="393">
        <f t="shared" si="80"/>
        <v>2.1645000000000003</v>
      </c>
      <c r="T348" s="393">
        <f t="shared" si="81"/>
        <v>2.1779999999999999</v>
      </c>
      <c r="U348" s="413">
        <f t="shared" si="82"/>
        <v>2.1779999999999999</v>
      </c>
    </row>
    <row r="349" spans="1:21">
      <c r="A349">
        <v>311</v>
      </c>
      <c r="B349">
        <v>343</v>
      </c>
      <c r="C349" t="s">
        <v>369</v>
      </c>
      <c r="D349" s="391">
        <f t="shared" si="72"/>
        <v>21.132000000000001</v>
      </c>
      <c r="E349" s="390">
        <v>14.04879712331997</v>
      </c>
      <c r="F349" s="400">
        <v>29.916000000000004</v>
      </c>
      <c r="G349" s="400">
        <v>19.655999999999999</v>
      </c>
      <c r="H349" s="400">
        <v>21.132000000000001</v>
      </c>
      <c r="I349" s="400">
        <v>21.132000000000001</v>
      </c>
      <c r="J349" s="400">
        <v>21.132000000000001</v>
      </c>
      <c r="K349" s="400">
        <v>21.132000000000001</v>
      </c>
      <c r="L349" s="400">
        <f t="shared" si="73"/>
        <v>22.959000000000003</v>
      </c>
      <c r="M349" s="413">
        <f t="shared" si="74"/>
        <v>22.959000000000003</v>
      </c>
      <c r="N349" s="413">
        <f t="shared" si="75"/>
        <v>22.959000000000003</v>
      </c>
      <c r="O349" s="393">
        <f t="shared" si="76"/>
        <v>21.982398561659988</v>
      </c>
      <c r="P349" s="393">
        <f t="shared" si="77"/>
        <v>24.786000000000001</v>
      </c>
      <c r="Q349" s="393">
        <f t="shared" si="78"/>
        <v>20.393999999999998</v>
      </c>
      <c r="R349" s="393">
        <f t="shared" si="79"/>
        <v>21.132000000000001</v>
      </c>
      <c r="S349" s="393">
        <f t="shared" si="80"/>
        <v>21.588750000000001</v>
      </c>
      <c r="T349" s="393">
        <f t="shared" si="81"/>
        <v>22.959000000000003</v>
      </c>
      <c r="U349" s="413">
        <f t="shared" si="82"/>
        <v>22.959000000000003</v>
      </c>
    </row>
    <row r="350" spans="1:21">
      <c r="A350">
        <v>259</v>
      </c>
      <c r="B350">
        <v>344</v>
      </c>
      <c r="C350" t="s">
        <v>370</v>
      </c>
      <c r="D350" s="391">
        <f t="shared" si="72"/>
        <v>30.852</v>
      </c>
      <c r="E350" s="390">
        <v>22.608347418682328</v>
      </c>
      <c r="F350" s="400">
        <v>121.896</v>
      </c>
      <c r="G350" s="400">
        <v>26.28</v>
      </c>
      <c r="H350" s="400">
        <v>30.852</v>
      </c>
      <c r="I350" s="400">
        <v>30.852</v>
      </c>
      <c r="J350" s="400">
        <v>30.852</v>
      </c>
      <c r="K350" s="400">
        <v>30.852</v>
      </c>
      <c r="L350" s="400">
        <f t="shared" si="73"/>
        <v>52.47</v>
      </c>
      <c r="M350" s="413">
        <f t="shared" si="74"/>
        <v>52.47</v>
      </c>
      <c r="N350" s="413">
        <f t="shared" si="75"/>
        <v>52.47</v>
      </c>
      <c r="O350" s="393">
        <f t="shared" si="76"/>
        <v>72.252173709341164</v>
      </c>
      <c r="P350" s="393">
        <f t="shared" si="77"/>
        <v>74.087999999999994</v>
      </c>
      <c r="Q350" s="393">
        <f t="shared" si="78"/>
        <v>28.566000000000003</v>
      </c>
      <c r="R350" s="393">
        <f t="shared" si="79"/>
        <v>30.852</v>
      </c>
      <c r="S350" s="393">
        <f t="shared" si="80"/>
        <v>36.256500000000003</v>
      </c>
      <c r="T350" s="393">
        <f t="shared" si="81"/>
        <v>52.47</v>
      </c>
      <c r="U350" s="413">
        <f t="shared" si="82"/>
        <v>52.47</v>
      </c>
    </row>
    <row r="351" spans="1:21">
      <c r="A351">
        <v>267</v>
      </c>
      <c r="B351">
        <v>345</v>
      </c>
      <c r="C351" t="s">
        <v>331</v>
      </c>
      <c r="D351" s="391">
        <f t="shared" si="72"/>
        <v>0.9</v>
      </c>
      <c r="E351" s="390">
        <v>0</v>
      </c>
      <c r="F351" s="400">
        <v>2.3040000000000003</v>
      </c>
      <c r="G351" s="400">
        <v>0</v>
      </c>
      <c r="H351" s="400">
        <v>0.9</v>
      </c>
      <c r="I351" s="400">
        <v>0.9</v>
      </c>
      <c r="J351" s="400">
        <v>0.9</v>
      </c>
      <c r="K351" s="400">
        <v>0.9</v>
      </c>
      <c r="L351" s="400">
        <f t="shared" si="73"/>
        <v>1.026</v>
      </c>
      <c r="M351" s="413">
        <f t="shared" si="74"/>
        <v>1.026</v>
      </c>
      <c r="N351" s="413">
        <f t="shared" si="75"/>
        <v>1.026</v>
      </c>
      <c r="O351" s="393">
        <f t="shared" si="76"/>
        <v>1.1520000000000001</v>
      </c>
      <c r="P351" s="393">
        <f t="shared" si="77"/>
        <v>1.1520000000000001</v>
      </c>
      <c r="Q351" s="393">
        <f t="shared" si="78"/>
        <v>0.45</v>
      </c>
      <c r="R351" s="393">
        <f t="shared" si="79"/>
        <v>0.9</v>
      </c>
      <c r="S351" s="393">
        <f t="shared" si="80"/>
        <v>0.93149999999999999</v>
      </c>
      <c r="T351" s="393">
        <f t="shared" si="81"/>
        <v>1.026</v>
      </c>
      <c r="U351" s="413">
        <f t="shared" si="82"/>
        <v>1.026</v>
      </c>
    </row>
    <row r="352" spans="1:21">
      <c r="A352">
        <v>190</v>
      </c>
      <c r="B352">
        <v>346</v>
      </c>
      <c r="C352" t="s">
        <v>371</v>
      </c>
      <c r="D352" s="391">
        <f t="shared" si="72"/>
        <v>102.492</v>
      </c>
      <c r="E352" s="390">
        <v>17.331765170110298</v>
      </c>
      <c r="F352" s="400">
        <v>30.672000000000001</v>
      </c>
      <c r="G352" s="400">
        <v>67.103999999999999</v>
      </c>
      <c r="H352" s="400">
        <v>102.492</v>
      </c>
      <c r="I352" s="400">
        <v>102.492</v>
      </c>
      <c r="J352" s="400">
        <v>102.492</v>
      </c>
      <c r="K352" s="400">
        <v>102.492</v>
      </c>
      <c r="L352" s="400">
        <f t="shared" si="73"/>
        <v>75.69</v>
      </c>
      <c r="M352" s="413">
        <f t="shared" si="74"/>
        <v>75.69</v>
      </c>
      <c r="N352" s="413">
        <f t="shared" si="75"/>
        <v>75.69</v>
      </c>
      <c r="O352" s="393">
        <f t="shared" si="76"/>
        <v>24.001882585055149</v>
      </c>
      <c r="P352" s="393">
        <f t="shared" si="77"/>
        <v>48.887999999999998</v>
      </c>
      <c r="Q352" s="393">
        <f t="shared" si="78"/>
        <v>84.798000000000002</v>
      </c>
      <c r="R352" s="393">
        <f t="shared" si="79"/>
        <v>102.492</v>
      </c>
      <c r="S352" s="393">
        <f t="shared" si="80"/>
        <v>95.791499999999999</v>
      </c>
      <c r="T352" s="393">
        <f t="shared" si="81"/>
        <v>75.69</v>
      </c>
      <c r="U352" s="413">
        <f t="shared" si="82"/>
        <v>75.69</v>
      </c>
    </row>
    <row r="353" spans="1:21">
      <c r="A353">
        <v>443</v>
      </c>
      <c r="B353">
        <v>347</v>
      </c>
      <c r="C353" t="s">
        <v>357</v>
      </c>
      <c r="D353" s="391">
        <f t="shared" si="72"/>
        <v>57.347999999999999</v>
      </c>
      <c r="E353" s="390">
        <v>8.8966550062852985</v>
      </c>
      <c r="F353" s="400">
        <v>53.712000000000003</v>
      </c>
      <c r="G353" s="400">
        <v>47.7</v>
      </c>
      <c r="H353" s="400">
        <v>57.347999999999999</v>
      </c>
      <c r="I353" s="400">
        <v>57.347999999999999</v>
      </c>
      <c r="J353" s="400">
        <v>57.347999999999999</v>
      </c>
      <c r="K353" s="400">
        <v>57.347999999999999</v>
      </c>
      <c r="L353" s="400">
        <f t="shared" si="73"/>
        <v>54.027000000000001</v>
      </c>
      <c r="M353" s="413">
        <f t="shared" si="74"/>
        <v>54.027000000000001</v>
      </c>
      <c r="N353" s="413">
        <f t="shared" si="75"/>
        <v>54.027000000000001</v>
      </c>
      <c r="O353" s="393">
        <f t="shared" si="76"/>
        <v>31.304327503142652</v>
      </c>
      <c r="P353" s="393">
        <f t="shared" si="77"/>
        <v>50.706000000000003</v>
      </c>
      <c r="Q353" s="393">
        <f t="shared" si="78"/>
        <v>52.524000000000001</v>
      </c>
      <c r="R353" s="393">
        <f t="shared" si="79"/>
        <v>57.347999999999999</v>
      </c>
      <c r="S353" s="393">
        <f t="shared" si="80"/>
        <v>56.517749999999992</v>
      </c>
      <c r="T353" s="393">
        <f t="shared" si="81"/>
        <v>54.027000000000001</v>
      </c>
      <c r="U353" s="413">
        <f t="shared" si="82"/>
        <v>54.027000000000001</v>
      </c>
    </row>
    <row r="354" spans="1:21">
      <c r="A354">
        <v>187</v>
      </c>
      <c r="B354">
        <v>348</v>
      </c>
      <c r="C354" t="s">
        <v>555</v>
      </c>
      <c r="D354" s="391">
        <f t="shared" si="72"/>
        <v>0</v>
      </c>
      <c r="E354" s="390">
        <v>0</v>
      </c>
      <c r="F354" s="400">
        <v>0</v>
      </c>
      <c r="G354" s="400">
        <v>0</v>
      </c>
      <c r="H354" s="400">
        <v>0</v>
      </c>
      <c r="I354" s="400">
        <v>0</v>
      </c>
      <c r="J354" s="400">
        <v>0</v>
      </c>
      <c r="K354" s="400">
        <v>0</v>
      </c>
      <c r="L354" s="400">
        <f t="shared" si="73"/>
        <v>0</v>
      </c>
      <c r="M354" s="413">
        <f t="shared" si="74"/>
        <v>0</v>
      </c>
      <c r="N354" s="413">
        <f t="shared" si="75"/>
        <v>0</v>
      </c>
      <c r="O354" s="393">
        <f t="shared" si="76"/>
        <v>0</v>
      </c>
      <c r="P354" s="393">
        <f t="shared" si="77"/>
        <v>0</v>
      </c>
      <c r="Q354" s="393">
        <f t="shared" si="78"/>
        <v>0</v>
      </c>
      <c r="R354" s="393">
        <f t="shared" si="79"/>
        <v>0</v>
      </c>
      <c r="S354" s="393">
        <f t="shared" si="80"/>
        <v>0</v>
      </c>
      <c r="T354" s="393">
        <f t="shared" si="81"/>
        <v>0</v>
      </c>
      <c r="U354" s="413">
        <f t="shared" si="82"/>
        <v>0</v>
      </c>
    </row>
    <row r="355" spans="1:21">
      <c r="A355">
        <v>194</v>
      </c>
      <c r="B355">
        <v>349</v>
      </c>
      <c r="C355" t="s">
        <v>30</v>
      </c>
      <c r="D355" s="391">
        <f t="shared" si="72"/>
        <v>17.172000000000001</v>
      </c>
      <c r="E355" s="390">
        <v>12.364283420322852</v>
      </c>
      <c r="F355" s="400">
        <v>13.860000000000001</v>
      </c>
      <c r="G355" s="400">
        <v>5.0759999999999996</v>
      </c>
      <c r="H355" s="400">
        <v>17.172000000000001</v>
      </c>
      <c r="I355" s="400">
        <v>17.172000000000001</v>
      </c>
      <c r="J355" s="400">
        <v>17.172000000000001</v>
      </c>
      <c r="K355" s="400">
        <v>17.172000000000001</v>
      </c>
      <c r="L355" s="400">
        <f t="shared" si="73"/>
        <v>13.32</v>
      </c>
      <c r="M355" s="413">
        <f t="shared" si="74"/>
        <v>13.32</v>
      </c>
      <c r="N355" s="413">
        <f t="shared" si="75"/>
        <v>13.32</v>
      </c>
      <c r="O355" s="393">
        <f t="shared" si="76"/>
        <v>13.112141710161428</v>
      </c>
      <c r="P355" s="393">
        <f t="shared" si="77"/>
        <v>9.468</v>
      </c>
      <c r="Q355" s="393">
        <f t="shared" si="78"/>
        <v>11.124000000000001</v>
      </c>
      <c r="R355" s="393">
        <f t="shared" si="79"/>
        <v>17.172000000000001</v>
      </c>
      <c r="S355" s="393">
        <f t="shared" si="80"/>
        <v>16.209000000000003</v>
      </c>
      <c r="T355" s="393">
        <f t="shared" si="81"/>
        <v>13.32</v>
      </c>
      <c r="U355" s="413">
        <f t="shared" si="82"/>
        <v>13.32</v>
      </c>
    </row>
    <row r="356" spans="1:21">
      <c r="A356">
        <v>221</v>
      </c>
      <c r="B356">
        <v>350</v>
      </c>
      <c r="C356" t="s">
        <v>373</v>
      </c>
      <c r="D356" s="391">
        <f t="shared" si="72"/>
        <v>6.444</v>
      </c>
      <c r="E356" s="390">
        <v>1.1993144116836594</v>
      </c>
      <c r="F356" s="400">
        <v>5.9039999999999999</v>
      </c>
      <c r="G356" s="400">
        <v>3.8880000000000003</v>
      </c>
      <c r="H356" s="400">
        <v>6.444</v>
      </c>
      <c r="I356" s="400">
        <v>6.444</v>
      </c>
      <c r="J356" s="400">
        <v>6.444</v>
      </c>
      <c r="K356" s="400">
        <v>6.444</v>
      </c>
      <c r="L356" s="400">
        <f t="shared" si="73"/>
        <v>5.67</v>
      </c>
      <c r="M356" s="413">
        <f t="shared" si="74"/>
        <v>5.67</v>
      </c>
      <c r="N356" s="413">
        <f t="shared" si="75"/>
        <v>5.67</v>
      </c>
      <c r="O356" s="393">
        <f t="shared" si="76"/>
        <v>3.5516572058418294</v>
      </c>
      <c r="P356" s="393">
        <f t="shared" si="77"/>
        <v>4.8959999999999999</v>
      </c>
      <c r="Q356" s="393">
        <f t="shared" si="78"/>
        <v>5.1660000000000004</v>
      </c>
      <c r="R356" s="393">
        <f t="shared" si="79"/>
        <v>6.444</v>
      </c>
      <c r="S356" s="393">
        <f t="shared" si="80"/>
        <v>6.2505000000000006</v>
      </c>
      <c r="T356" s="393">
        <f t="shared" si="81"/>
        <v>5.67</v>
      </c>
      <c r="U356" s="413">
        <f t="shared" si="82"/>
        <v>5.67</v>
      </c>
    </row>
    <row r="357" spans="1:21">
      <c r="A357">
        <v>349</v>
      </c>
      <c r="B357">
        <v>351</v>
      </c>
      <c r="C357" t="s">
        <v>301</v>
      </c>
      <c r="D357" s="391">
        <f t="shared" si="72"/>
        <v>19.296000000000003</v>
      </c>
      <c r="E357" s="390">
        <v>4.2152734020618556</v>
      </c>
      <c r="F357" s="400">
        <v>10.584</v>
      </c>
      <c r="G357" s="400">
        <v>28.692</v>
      </c>
      <c r="H357" s="400">
        <v>19.296000000000003</v>
      </c>
      <c r="I357" s="400">
        <v>19.296000000000003</v>
      </c>
      <c r="J357" s="400">
        <v>19.296000000000003</v>
      </c>
      <c r="K357" s="400">
        <v>19.296000000000003</v>
      </c>
      <c r="L357" s="400">
        <f t="shared" si="73"/>
        <v>19.467000000000002</v>
      </c>
      <c r="M357" s="413">
        <f t="shared" si="74"/>
        <v>19.467000000000002</v>
      </c>
      <c r="N357" s="413">
        <f t="shared" si="75"/>
        <v>19.467000000000002</v>
      </c>
      <c r="O357" s="393">
        <f t="shared" si="76"/>
        <v>7.3996367010309276</v>
      </c>
      <c r="P357" s="393">
        <f t="shared" si="77"/>
        <v>19.637999999999998</v>
      </c>
      <c r="Q357" s="393">
        <f t="shared" si="78"/>
        <v>23.994</v>
      </c>
      <c r="R357" s="393">
        <f t="shared" si="79"/>
        <v>19.296000000000003</v>
      </c>
      <c r="S357" s="393">
        <f t="shared" si="80"/>
        <v>19.338750000000001</v>
      </c>
      <c r="T357" s="393">
        <f t="shared" si="81"/>
        <v>19.467000000000002</v>
      </c>
      <c r="U357" s="413">
        <f t="shared" si="82"/>
        <v>19.467000000000002</v>
      </c>
    </row>
    <row r="358" spans="1:21">
      <c r="A358">
        <v>116</v>
      </c>
      <c r="B358">
        <v>352</v>
      </c>
      <c r="C358" t="s">
        <v>374</v>
      </c>
      <c r="D358" s="391">
        <f t="shared" si="72"/>
        <v>18.252000000000002</v>
      </c>
      <c r="E358" s="390">
        <v>105.65523572367867</v>
      </c>
      <c r="F358" s="400">
        <v>6.984</v>
      </c>
      <c r="G358" s="400">
        <v>6.12</v>
      </c>
      <c r="H358" s="400">
        <v>18.252000000000002</v>
      </c>
      <c r="I358" s="400">
        <v>18.252000000000002</v>
      </c>
      <c r="J358" s="400">
        <v>18.252000000000002</v>
      </c>
      <c r="K358" s="400">
        <v>18.252000000000002</v>
      </c>
      <c r="L358" s="400">
        <f t="shared" si="73"/>
        <v>12.402000000000001</v>
      </c>
      <c r="M358" s="413">
        <f t="shared" si="74"/>
        <v>12.402000000000001</v>
      </c>
      <c r="N358" s="413">
        <f t="shared" si="75"/>
        <v>12.402000000000001</v>
      </c>
      <c r="O358" s="393">
        <f t="shared" si="76"/>
        <v>56.319617861839333</v>
      </c>
      <c r="P358" s="393">
        <f t="shared" si="77"/>
        <v>6.5519999999999996</v>
      </c>
      <c r="Q358" s="393">
        <f t="shared" si="78"/>
        <v>12.186000000000002</v>
      </c>
      <c r="R358" s="393">
        <f t="shared" si="79"/>
        <v>18.252000000000002</v>
      </c>
      <c r="S358" s="393">
        <f t="shared" si="80"/>
        <v>16.789500000000004</v>
      </c>
      <c r="T358" s="393">
        <f t="shared" si="81"/>
        <v>12.402000000000001</v>
      </c>
      <c r="U358" s="413">
        <f t="shared" si="82"/>
        <v>12.402000000000001</v>
      </c>
    </row>
    <row r="359" spans="1:21">
      <c r="A359">
        <v>65</v>
      </c>
      <c r="B359">
        <v>353</v>
      </c>
      <c r="C359" t="s">
        <v>375</v>
      </c>
      <c r="D359" s="391">
        <f t="shared" si="72"/>
        <v>38.159999999999997</v>
      </c>
      <c r="E359" s="390">
        <v>28.622675494830762</v>
      </c>
      <c r="F359" s="400">
        <v>30.024000000000001</v>
      </c>
      <c r="G359" s="400">
        <v>85.391999999999996</v>
      </c>
      <c r="H359" s="400">
        <v>38.159999999999997</v>
      </c>
      <c r="I359" s="400">
        <v>38.159999999999997</v>
      </c>
      <c r="J359" s="400">
        <v>38.159999999999997</v>
      </c>
      <c r="K359" s="400">
        <v>38.159999999999997</v>
      </c>
      <c r="L359" s="400">
        <f t="shared" si="73"/>
        <v>47.933999999999997</v>
      </c>
      <c r="M359" s="413">
        <f t="shared" si="74"/>
        <v>47.933999999999997</v>
      </c>
      <c r="N359" s="413">
        <f t="shared" si="75"/>
        <v>47.933999999999997</v>
      </c>
      <c r="O359" s="393">
        <f t="shared" si="76"/>
        <v>29.32333774741538</v>
      </c>
      <c r="P359" s="393">
        <f t="shared" si="77"/>
        <v>57.707999999999998</v>
      </c>
      <c r="Q359" s="393">
        <f t="shared" si="78"/>
        <v>61.775999999999996</v>
      </c>
      <c r="R359" s="393">
        <f t="shared" si="79"/>
        <v>38.159999999999997</v>
      </c>
      <c r="S359" s="393">
        <f t="shared" si="80"/>
        <v>40.603499999999997</v>
      </c>
      <c r="T359" s="393">
        <f t="shared" si="81"/>
        <v>47.933999999999997</v>
      </c>
      <c r="U359" s="413">
        <f t="shared" si="82"/>
        <v>47.933999999999997</v>
      </c>
    </row>
    <row r="360" spans="1:21">
      <c r="A360">
        <v>380</v>
      </c>
      <c r="B360">
        <v>354</v>
      </c>
      <c r="C360" t="s">
        <v>376</v>
      </c>
      <c r="D360" s="391">
        <f t="shared" si="72"/>
        <v>3.6000000000000004E-2</v>
      </c>
      <c r="E360" s="390">
        <v>0.10372078438386363</v>
      </c>
      <c r="F360" s="400">
        <v>3.6000000000000004E-2</v>
      </c>
      <c r="G360" s="400">
        <v>1.0080000000000002</v>
      </c>
      <c r="H360" s="400">
        <v>3.6000000000000004E-2</v>
      </c>
      <c r="I360" s="400">
        <v>3.6000000000000004E-2</v>
      </c>
      <c r="J360" s="400">
        <v>3.6000000000000004E-2</v>
      </c>
      <c r="K360" s="400">
        <v>3.6000000000000004E-2</v>
      </c>
      <c r="L360" s="400">
        <f t="shared" si="73"/>
        <v>0.27900000000000008</v>
      </c>
      <c r="M360" s="413">
        <f t="shared" si="74"/>
        <v>0.27900000000000008</v>
      </c>
      <c r="N360" s="413">
        <f t="shared" si="75"/>
        <v>0.27900000000000008</v>
      </c>
      <c r="O360" s="393">
        <f t="shared" si="76"/>
        <v>6.9860392191931825E-2</v>
      </c>
      <c r="P360" s="393">
        <f t="shared" si="77"/>
        <v>0.52200000000000013</v>
      </c>
      <c r="Q360" s="393">
        <f t="shared" si="78"/>
        <v>0.52200000000000013</v>
      </c>
      <c r="R360" s="393">
        <f t="shared" si="79"/>
        <v>3.6000000000000004E-2</v>
      </c>
      <c r="S360" s="393">
        <f t="shared" si="80"/>
        <v>9.675000000000003E-2</v>
      </c>
      <c r="T360" s="393">
        <f t="shared" si="81"/>
        <v>0.27900000000000008</v>
      </c>
      <c r="U360" s="413">
        <f t="shared" si="82"/>
        <v>0.27900000000000008</v>
      </c>
    </row>
    <row r="361" spans="1:21">
      <c r="A361">
        <v>304</v>
      </c>
      <c r="B361">
        <v>355</v>
      </c>
      <c r="C361" t="s">
        <v>141</v>
      </c>
      <c r="D361" s="391">
        <f t="shared" si="72"/>
        <v>3.024</v>
      </c>
      <c r="E361" s="390">
        <v>9.0565709781614139</v>
      </c>
      <c r="F361" s="400">
        <v>6.12</v>
      </c>
      <c r="G361" s="400">
        <v>0.18000000000000002</v>
      </c>
      <c r="H361" s="400">
        <v>3.024</v>
      </c>
      <c r="I361" s="400">
        <v>3.024</v>
      </c>
      <c r="J361" s="400">
        <v>3.024</v>
      </c>
      <c r="K361" s="400">
        <v>3.024</v>
      </c>
      <c r="L361" s="400">
        <f t="shared" si="73"/>
        <v>3.0869999999999997</v>
      </c>
      <c r="M361" s="413">
        <f t="shared" si="74"/>
        <v>3.0869999999999997</v>
      </c>
      <c r="N361" s="413">
        <f t="shared" si="75"/>
        <v>3.0869999999999997</v>
      </c>
      <c r="O361" s="393">
        <f t="shared" si="76"/>
        <v>7.5882854890807074</v>
      </c>
      <c r="P361" s="393">
        <f t="shared" si="77"/>
        <v>3.15</v>
      </c>
      <c r="Q361" s="393">
        <f t="shared" si="78"/>
        <v>1.6020000000000001</v>
      </c>
      <c r="R361" s="393">
        <f t="shared" si="79"/>
        <v>3.024</v>
      </c>
      <c r="S361" s="393">
        <f t="shared" si="80"/>
        <v>3.0397499999999997</v>
      </c>
      <c r="T361" s="393">
        <f t="shared" si="81"/>
        <v>3.0869999999999997</v>
      </c>
      <c r="U361" s="413">
        <f t="shared" si="82"/>
        <v>3.0869999999999997</v>
      </c>
    </row>
    <row r="362" spans="1:21">
      <c r="A362">
        <v>63</v>
      </c>
      <c r="B362">
        <v>356</v>
      </c>
      <c r="C362" t="s">
        <v>377</v>
      </c>
      <c r="D362" s="391">
        <f t="shared" si="72"/>
        <v>53.064</v>
      </c>
      <c r="E362" s="390">
        <v>158.72480788063996</v>
      </c>
      <c r="F362" s="400">
        <v>143.42400000000001</v>
      </c>
      <c r="G362" s="400">
        <v>152.82000000000002</v>
      </c>
      <c r="H362" s="400">
        <v>53.064</v>
      </c>
      <c r="I362" s="400">
        <v>53.064</v>
      </c>
      <c r="J362" s="400">
        <v>53.064</v>
      </c>
      <c r="K362" s="400">
        <v>53.064</v>
      </c>
      <c r="L362" s="400">
        <f t="shared" si="73"/>
        <v>100.59300000000002</v>
      </c>
      <c r="M362" s="413">
        <f t="shared" si="74"/>
        <v>100.59300000000002</v>
      </c>
      <c r="N362" s="413">
        <f t="shared" si="75"/>
        <v>100.59300000000002</v>
      </c>
      <c r="O362" s="393">
        <f t="shared" si="76"/>
        <v>151.07440394032</v>
      </c>
      <c r="P362" s="393">
        <f t="shared" si="77"/>
        <v>148.12200000000001</v>
      </c>
      <c r="Q362" s="393">
        <f t="shared" si="78"/>
        <v>102.94200000000001</v>
      </c>
      <c r="R362" s="393">
        <f t="shared" si="79"/>
        <v>53.064</v>
      </c>
      <c r="S362" s="393">
        <f t="shared" si="80"/>
        <v>64.946250000000006</v>
      </c>
      <c r="T362" s="393">
        <f t="shared" si="81"/>
        <v>100.59300000000002</v>
      </c>
      <c r="U362" s="413">
        <f t="shared" si="82"/>
        <v>100.59300000000002</v>
      </c>
    </row>
    <row r="363" spans="1:21">
      <c r="A363">
        <v>389</v>
      </c>
      <c r="B363">
        <v>357</v>
      </c>
      <c r="C363" t="s">
        <v>378</v>
      </c>
      <c r="D363" s="391">
        <f t="shared" si="72"/>
        <v>2.52</v>
      </c>
      <c r="E363" s="390">
        <v>2.9959919564089255</v>
      </c>
      <c r="F363" s="400">
        <v>2.6640000000000001</v>
      </c>
      <c r="G363" s="400">
        <v>1.4040000000000001</v>
      </c>
      <c r="H363" s="400">
        <v>2.52</v>
      </c>
      <c r="I363" s="400">
        <v>2.52</v>
      </c>
      <c r="J363" s="400">
        <v>2.52</v>
      </c>
      <c r="K363" s="400">
        <v>2.52</v>
      </c>
      <c r="L363" s="400">
        <f t="shared" si="73"/>
        <v>2.2770000000000001</v>
      </c>
      <c r="M363" s="413">
        <f t="shared" si="74"/>
        <v>2.2770000000000001</v>
      </c>
      <c r="N363" s="413">
        <f t="shared" si="75"/>
        <v>2.2770000000000001</v>
      </c>
      <c r="O363" s="393">
        <f t="shared" si="76"/>
        <v>2.8299959782044626</v>
      </c>
      <c r="P363" s="393">
        <f t="shared" si="77"/>
        <v>2.0340000000000003</v>
      </c>
      <c r="Q363" s="393">
        <f t="shared" si="78"/>
        <v>1.9620000000000002</v>
      </c>
      <c r="R363" s="393">
        <f t="shared" si="79"/>
        <v>2.52</v>
      </c>
      <c r="S363" s="393">
        <f t="shared" si="80"/>
        <v>2.4592499999999999</v>
      </c>
      <c r="T363" s="393">
        <f t="shared" si="81"/>
        <v>2.2770000000000001</v>
      </c>
      <c r="U363" s="413">
        <f t="shared" si="82"/>
        <v>2.2770000000000001</v>
      </c>
    </row>
    <row r="364" spans="1:21">
      <c r="A364">
        <v>358</v>
      </c>
      <c r="B364">
        <v>358</v>
      </c>
      <c r="C364" t="s">
        <v>302</v>
      </c>
      <c r="D364" s="391">
        <f t="shared" si="72"/>
        <v>88.56</v>
      </c>
      <c r="E364" s="390">
        <v>15.31064045454545</v>
      </c>
      <c r="F364" s="400">
        <v>52.56</v>
      </c>
      <c r="G364" s="400">
        <v>107.496</v>
      </c>
      <c r="H364" s="400">
        <v>88.56</v>
      </c>
      <c r="I364" s="400">
        <v>88.56</v>
      </c>
      <c r="J364" s="400">
        <v>88.56</v>
      </c>
      <c r="K364" s="400">
        <v>88.56</v>
      </c>
      <c r="L364" s="400">
        <f t="shared" si="73"/>
        <v>84.293999999999997</v>
      </c>
      <c r="M364" s="413">
        <f t="shared" si="74"/>
        <v>84.293999999999997</v>
      </c>
      <c r="N364" s="413">
        <f t="shared" si="75"/>
        <v>84.293999999999997</v>
      </c>
      <c r="O364" s="393">
        <f t="shared" si="76"/>
        <v>33.935320227272726</v>
      </c>
      <c r="P364" s="393">
        <f t="shared" si="77"/>
        <v>80.027999999999992</v>
      </c>
      <c r="Q364" s="393">
        <f t="shared" si="78"/>
        <v>98.027999999999992</v>
      </c>
      <c r="R364" s="393">
        <f t="shared" si="79"/>
        <v>88.56</v>
      </c>
      <c r="S364" s="393">
        <f t="shared" si="80"/>
        <v>87.493499999999997</v>
      </c>
      <c r="T364" s="393">
        <f t="shared" si="81"/>
        <v>84.293999999999997</v>
      </c>
      <c r="U364" s="413">
        <f t="shared" si="82"/>
        <v>84.293999999999997</v>
      </c>
    </row>
    <row r="365" spans="1:21">
      <c r="A365">
        <v>94</v>
      </c>
      <c r="B365">
        <v>359</v>
      </c>
      <c r="C365" t="s">
        <v>102</v>
      </c>
      <c r="D365" s="391">
        <f t="shared" si="72"/>
        <v>118.51200000000001</v>
      </c>
      <c r="E365" s="390">
        <v>189.83095127776448</v>
      </c>
      <c r="F365" s="400">
        <v>109.044</v>
      </c>
      <c r="G365" s="400">
        <v>118.47599999999998</v>
      </c>
      <c r="H365" s="400">
        <v>118.51200000000001</v>
      </c>
      <c r="I365" s="400">
        <v>118.51200000000001</v>
      </c>
      <c r="J365" s="400">
        <v>118.51200000000001</v>
      </c>
      <c r="K365" s="400">
        <v>118.51200000000001</v>
      </c>
      <c r="L365" s="400">
        <f t="shared" si="73"/>
        <v>116.136</v>
      </c>
      <c r="M365" s="413">
        <f t="shared" si="74"/>
        <v>116.136</v>
      </c>
      <c r="N365" s="413">
        <f t="shared" si="75"/>
        <v>116.136</v>
      </c>
      <c r="O365" s="393">
        <f t="shared" si="76"/>
        <v>149.43747563888223</v>
      </c>
      <c r="P365" s="393">
        <f t="shared" si="77"/>
        <v>113.75999999999999</v>
      </c>
      <c r="Q365" s="393">
        <f t="shared" si="78"/>
        <v>118.494</v>
      </c>
      <c r="R365" s="393">
        <f t="shared" si="79"/>
        <v>118.51200000000001</v>
      </c>
      <c r="S365" s="393">
        <f t="shared" si="80"/>
        <v>117.91800000000001</v>
      </c>
      <c r="T365" s="393">
        <f t="shared" si="81"/>
        <v>116.136</v>
      </c>
      <c r="U365" s="413">
        <f t="shared" si="82"/>
        <v>116.136</v>
      </c>
    </row>
    <row r="366" spans="1:21">
      <c r="A366">
        <v>421</v>
      </c>
      <c r="B366">
        <v>360</v>
      </c>
      <c r="C366" t="s">
        <v>379</v>
      </c>
      <c r="D366" s="391">
        <f t="shared" si="72"/>
        <v>0.108</v>
      </c>
      <c r="E366" s="390">
        <v>6.7629238961502192E-2</v>
      </c>
      <c r="F366" s="400">
        <v>0.108</v>
      </c>
      <c r="G366" s="400">
        <v>0</v>
      </c>
      <c r="H366" s="400">
        <v>0.108</v>
      </c>
      <c r="I366" s="400">
        <v>0.108</v>
      </c>
      <c r="J366" s="400">
        <v>0.108</v>
      </c>
      <c r="K366" s="400">
        <v>0.108</v>
      </c>
      <c r="L366" s="400">
        <f t="shared" si="73"/>
        <v>8.1000000000000003E-2</v>
      </c>
      <c r="M366" s="413">
        <f t="shared" si="74"/>
        <v>8.1000000000000003E-2</v>
      </c>
      <c r="N366" s="413">
        <f t="shared" si="75"/>
        <v>8.1000000000000003E-2</v>
      </c>
      <c r="O366" s="393">
        <f t="shared" si="76"/>
        <v>8.7814619480751088E-2</v>
      </c>
      <c r="P366" s="393">
        <f t="shared" si="77"/>
        <v>5.3999999999999999E-2</v>
      </c>
      <c r="Q366" s="393">
        <f t="shared" si="78"/>
        <v>5.3999999999999999E-2</v>
      </c>
      <c r="R366" s="393">
        <f t="shared" si="79"/>
        <v>0.108</v>
      </c>
      <c r="S366" s="393">
        <f t="shared" si="80"/>
        <v>0.10125000000000001</v>
      </c>
      <c r="T366" s="393">
        <f t="shared" si="81"/>
        <v>8.1000000000000003E-2</v>
      </c>
      <c r="U366" s="413">
        <f t="shared" si="82"/>
        <v>8.1000000000000003E-2</v>
      </c>
    </row>
    <row r="367" spans="1:21">
      <c r="A367">
        <v>136</v>
      </c>
      <c r="B367">
        <v>361</v>
      </c>
      <c r="C367" t="s">
        <v>381</v>
      </c>
      <c r="D367" s="391">
        <f t="shared" si="72"/>
        <v>0</v>
      </c>
      <c r="E367" s="390">
        <v>0</v>
      </c>
      <c r="F367" s="400">
        <v>0</v>
      </c>
      <c r="G367" s="400">
        <v>0</v>
      </c>
      <c r="H367" s="400">
        <v>0</v>
      </c>
      <c r="I367" s="400">
        <v>0</v>
      </c>
      <c r="J367" s="400">
        <v>0</v>
      </c>
      <c r="K367" s="400">
        <v>0</v>
      </c>
      <c r="L367" s="400">
        <f t="shared" si="73"/>
        <v>0</v>
      </c>
      <c r="M367" s="413">
        <f t="shared" si="74"/>
        <v>0</v>
      </c>
      <c r="N367" s="413">
        <f t="shared" si="75"/>
        <v>0</v>
      </c>
      <c r="O367" s="393">
        <f t="shared" si="76"/>
        <v>0</v>
      </c>
      <c r="P367" s="393">
        <f t="shared" si="77"/>
        <v>0</v>
      </c>
      <c r="Q367" s="393">
        <f t="shared" si="78"/>
        <v>0</v>
      </c>
      <c r="R367" s="393">
        <f t="shared" si="79"/>
        <v>0</v>
      </c>
      <c r="S367" s="393">
        <f t="shared" si="80"/>
        <v>0</v>
      </c>
      <c r="T367" s="393">
        <f t="shared" si="81"/>
        <v>0</v>
      </c>
      <c r="U367" s="413">
        <f t="shared" si="82"/>
        <v>0</v>
      </c>
    </row>
    <row r="368" spans="1:21">
      <c r="A368">
        <v>355</v>
      </c>
      <c r="B368">
        <v>362</v>
      </c>
      <c r="C368" t="s">
        <v>556</v>
      </c>
      <c r="D368" s="391">
        <f t="shared" si="72"/>
        <v>0</v>
      </c>
      <c r="E368" s="390">
        <v>2.8150213991995123</v>
      </c>
      <c r="F368" s="400">
        <v>3.6000000000000004E-2</v>
      </c>
      <c r="G368" s="400">
        <v>0</v>
      </c>
      <c r="H368" s="400">
        <v>0</v>
      </c>
      <c r="I368" s="400">
        <v>0</v>
      </c>
      <c r="J368" s="400">
        <v>0</v>
      </c>
      <c r="K368" s="400">
        <v>0</v>
      </c>
      <c r="L368" s="400">
        <f t="shared" si="73"/>
        <v>9.0000000000000011E-3</v>
      </c>
      <c r="M368" s="413">
        <f t="shared" si="74"/>
        <v>9.0000000000000011E-3</v>
      </c>
      <c r="N368" s="413">
        <f t="shared" si="75"/>
        <v>9.0000000000000011E-3</v>
      </c>
      <c r="O368" s="393">
        <f t="shared" si="76"/>
        <v>1.4255106995997562</v>
      </c>
      <c r="P368" s="393">
        <f t="shared" si="77"/>
        <v>1.8000000000000002E-2</v>
      </c>
      <c r="Q368" s="393">
        <f t="shared" si="78"/>
        <v>0</v>
      </c>
      <c r="R368" s="393">
        <f t="shared" si="79"/>
        <v>0</v>
      </c>
      <c r="S368" s="393">
        <f t="shared" si="80"/>
        <v>2.2500000000000003E-3</v>
      </c>
      <c r="T368" s="393">
        <f t="shared" si="81"/>
        <v>9.0000000000000011E-3</v>
      </c>
      <c r="U368" s="413">
        <f t="shared" si="82"/>
        <v>9.0000000000000011E-3</v>
      </c>
    </row>
    <row r="369" spans="1:21">
      <c r="A369">
        <v>193</v>
      </c>
      <c r="B369">
        <v>363</v>
      </c>
      <c r="C369" t="s">
        <v>557</v>
      </c>
      <c r="D369" s="391">
        <f t="shared" si="72"/>
        <v>4.8240000000000007</v>
      </c>
      <c r="E369" s="390">
        <v>4.0212436433432979</v>
      </c>
      <c r="F369" s="400">
        <v>0.36000000000000004</v>
      </c>
      <c r="G369" s="400">
        <v>2.988</v>
      </c>
      <c r="H369" s="400">
        <v>4.8240000000000007</v>
      </c>
      <c r="I369" s="400">
        <v>4.8240000000000007</v>
      </c>
      <c r="J369" s="400">
        <v>4.8240000000000007</v>
      </c>
      <c r="K369" s="400">
        <v>4.8240000000000007</v>
      </c>
      <c r="L369" s="400">
        <f t="shared" si="73"/>
        <v>3.2490000000000006</v>
      </c>
      <c r="M369" s="413">
        <f t="shared" si="74"/>
        <v>3.2490000000000006</v>
      </c>
      <c r="N369" s="413">
        <f t="shared" si="75"/>
        <v>3.2490000000000006</v>
      </c>
      <c r="O369" s="393">
        <f t="shared" si="76"/>
        <v>2.1906218216716491</v>
      </c>
      <c r="P369" s="393">
        <f t="shared" si="77"/>
        <v>1.6739999999999999</v>
      </c>
      <c r="Q369" s="393">
        <f t="shared" si="78"/>
        <v>3.9060000000000006</v>
      </c>
      <c r="R369" s="393">
        <f t="shared" si="79"/>
        <v>4.8240000000000007</v>
      </c>
      <c r="S369" s="393">
        <f t="shared" si="80"/>
        <v>4.4302500000000009</v>
      </c>
      <c r="T369" s="393">
        <f t="shared" si="81"/>
        <v>3.2490000000000006</v>
      </c>
      <c r="U369" s="413">
        <f t="shared" si="82"/>
        <v>3.2490000000000006</v>
      </c>
    </row>
    <row r="370" spans="1:21">
      <c r="A370">
        <v>385</v>
      </c>
      <c r="B370">
        <v>364</v>
      </c>
      <c r="C370" t="s">
        <v>558</v>
      </c>
      <c r="D370" s="391">
        <f t="shared" si="72"/>
        <v>3.6720000000000002</v>
      </c>
      <c r="E370" s="390">
        <v>1.9820238233378724</v>
      </c>
      <c r="F370" s="400">
        <v>3.5640000000000001</v>
      </c>
      <c r="G370" s="400">
        <v>2.3040000000000003</v>
      </c>
      <c r="H370" s="400">
        <v>3.6720000000000002</v>
      </c>
      <c r="I370" s="400">
        <v>3.6720000000000002</v>
      </c>
      <c r="J370" s="400">
        <v>3.6720000000000002</v>
      </c>
      <c r="K370" s="400">
        <v>3.6720000000000002</v>
      </c>
      <c r="L370" s="400">
        <f t="shared" si="73"/>
        <v>3.3030000000000004</v>
      </c>
      <c r="M370" s="413">
        <f t="shared" si="74"/>
        <v>3.3030000000000004</v>
      </c>
      <c r="N370" s="413">
        <f t="shared" si="75"/>
        <v>3.3030000000000004</v>
      </c>
      <c r="O370" s="393">
        <f t="shared" si="76"/>
        <v>2.7730119116689362</v>
      </c>
      <c r="P370" s="393">
        <f t="shared" si="77"/>
        <v>2.9340000000000002</v>
      </c>
      <c r="Q370" s="393">
        <f t="shared" si="78"/>
        <v>2.9880000000000004</v>
      </c>
      <c r="R370" s="393">
        <f t="shared" si="79"/>
        <v>3.6720000000000002</v>
      </c>
      <c r="S370" s="393">
        <f t="shared" si="80"/>
        <v>3.5797500000000002</v>
      </c>
      <c r="T370" s="393">
        <f t="shared" si="81"/>
        <v>3.3030000000000004</v>
      </c>
      <c r="U370" s="413">
        <f t="shared" si="82"/>
        <v>3.3030000000000004</v>
      </c>
    </row>
    <row r="371" spans="1:21">
      <c r="A371">
        <v>220</v>
      </c>
      <c r="B371">
        <v>365</v>
      </c>
      <c r="C371" t="s">
        <v>559</v>
      </c>
      <c r="D371" s="391">
        <f t="shared" si="72"/>
        <v>104.07600000000001</v>
      </c>
      <c r="E371" s="390">
        <v>113.66514674141726</v>
      </c>
      <c r="F371" s="400">
        <v>111.16799999999999</v>
      </c>
      <c r="G371" s="400">
        <v>94.067999999999998</v>
      </c>
      <c r="H371" s="400">
        <v>104.07600000000001</v>
      </c>
      <c r="I371" s="400">
        <v>104.07600000000001</v>
      </c>
      <c r="J371" s="400">
        <v>104.07600000000001</v>
      </c>
      <c r="K371" s="400">
        <v>104.07600000000001</v>
      </c>
      <c r="L371" s="400">
        <f t="shared" si="73"/>
        <v>103.34700000000001</v>
      </c>
      <c r="M371" s="413">
        <f t="shared" si="74"/>
        <v>103.34700000000001</v>
      </c>
      <c r="N371" s="413">
        <f t="shared" si="75"/>
        <v>103.34700000000001</v>
      </c>
      <c r="O371" s="393">
        <f t="shared" si="76"/>
        <v>112.41657337070862</v>
      </c>
      <c r="P371" s="393">
        <f t="shared" si="77"/>
        <v>102.61799999999999</v>
      </c>
      <c r="Q371" s="393">
        <f t="shared" si="78"/>
        <v>99.072000000000003</v>
      </c>
      <c r="R371" s="393">
        <f t="shared" si="79"/>
        <v>104.07600000000001</v>
      </c>
      <c r="S371" s="393">
        <f t="shared" si="80"/>
        <v>103.89375000000001</v>
      </c>
      <c r="T371" s="393">
        <f t="shared" si="81"/>
        <v>103.34700000000001</v>
      </c>
      <c r="U371" s="413">
        <f t="shared" si="82"/>
        <v>103.34700000000001</v>
      </c>
    </row>
    <row r="372" spans="1:21">
      <c r="A372">
        <v>361</v>
      </c>
      <c r="B372">
        <v>366</v>
      </c>
      <c r="C372" t="s">
        <v>560</v>
      </c>
      <c r="D372" s="391">
        <f t="shared" si="72"/>
        <v>3.0960000000000001</v>
      </c>
      <c r="E372" s="390">
        <v>0.35889731440707928</v>
      </c>
      <c r="F372" s="400">
        <v>0.64800000000000002</v>
      </c>
      <c r="G372" s="400">
        <v>0.6120000000000001</v>
      </c>
      <c r="H372" s="400">
        <v>3.0960000000000001</v>
      </c>
      <c r="I372" s="400">
        <v>3.0960000000000001</v>
      </c>
      <c r="J372" s="400">
        <v>3.0960000000000001</v>
      </c>
      <c r="K372" s="400">
        <v>3.0960000000000001</v>
      </c>
      <c r="L372" s="400">
        <f t="shared" si="73"/>
        <v>1.863</v>
      </c>
      <c r="M372" s="413">
        <f t="shared" si="74"/>
        <v>1.863</v>
      </c>
      <c r="N372" s="413">
        <f t="shared" si="75"/>
        <v>1.863</v>
      </c>
      <c r="O372" s="393">
        <f t="shared" si="76"/>
        <v>0.50344865720353971</v>
      </c>
      <c r="P372" s="393">
        <f t="shared" si="77"/>
        <v>0.63000000000000012</v>
      </c>
      <c r="Q372" s="393">
        <f t="shared" si="78"/>
        <v>1.8540000000000001</v>
      </c>
      <c r="R372" s="393">
        <f t="shared" si="79"/>
        <v>3.0960000000000001</v>
      </c>
      <c r="S372" s="393">
        <f t="shared" si="80"/>
        <v>2.78775</v>
      </c>
      <c r="T372" s="393">
        <f t="shared" si="81"/>
        <v>1.863</v>
      </c>
      <c r="U372" s="413">
        <f t="shared" si="82"/>
        <v>1.863</v>
      </c>
    </row>
    <row r="373" spans="1:21">
      <c r="A373">
        <v>266</v>
      </c>
      <c r="B373">
        <v>367</v>
      </c>
      <c r="C373" t="s">
        <v>99</v>
      </c>
      <c r="D373" s="391">
        <f t="shared" si="72"/>
        <v>28.980000000000004</v>
      </c>
      <c r="E373" s="390">
        <v>53.716172249232471</v>
      </c>
      <c r="F373" s="400">
        <v>41.183999999999997</v>
      </c>
      <c r="G373" s="421">
        <v>37.440000000000005</v>
      </c>
      <c r="H373" s="421">
        <v>28.980000000000004</v>
      </c>
      <c r="I373" s="421">
        <v>28.980000000000004</v>
      </c>
      <c r="J373" s="421">
        <v>28.980000000000004</v>
      </c>
      <c r="K373" s="421">
        <v>28.980000000000004</v>
      </c>
      <c r="L373" s="400">
        <f t="shared" si="73"/>
        <v>34.146000000000001</v>
      </c>
      <c r="M373" s="413">
        <f t="shared" si="74"/>
        <v>34.146000000000001</v>
      </c>
      <c r="N373" s="413">
        <f t="shared" si="75"/>
        <v>34.146000000000001</v>
      </c>
      <c r="O373" s="393">
        <f t="shared" si="76"/>
        <v>47.450086124616234</v>
      </c>
      <c r="P373" s="393">
        <f t="shared" si="77"/>
        <v>39.311999999999998</v>
      </c>
      <c r="Q373" s="393">
        <f t="shared" si="78"/>
        <v>33.210000000000008</v>
      </c>
      <c r="R373" s="393">
        <f t="shared" si="79"/>
        <v>28.980000000000004</v>
      </c>
      <c r="S373" s="393">
        <f t="shared" si="80"/>
        <v>30.271500000000003</v>
      </c>
      <c r="T373" s="393">
        <f t="shared" si="81"/>
        <v>34.146000000000001</v>
      </c>
      <c r="U373" s="413">
        <f t="shared" si="82"/>
        <v>34.146000000000001</v>
      </c>
    </row>
    <row r="374" spans="1:21">
      <c r="A374">
        <v>144</v>
      </c>
      <c r="B374">
        <v>368</v>
      </c>
      <c r="C374" t="s">
        <v>561</v>
      </c>
      <c r="D374" s="391">
        <f t="shared" si="72"/>
        <v>75.204000000000008</v>
      </c>
      <c r="E374" s="390">
        <v>88.614189952352419</v>
      </c>
      <c r="F374" s="400">
        <v>97.128</v>
      </c>
      <c r="G374" s="400">
        <v>88.451999999999998</v>
      </c>
      <c r="H374" s="400">
        <v>75.204000000000008</v>
      </c>
      <c r="I374" s="400">
        <v>75.204000000000008</v>
      </c>
      <c r="J374" s="400">
        <v>75.204000000000008</v>
      </c>
      <c r="K374" s="400">
        <v>75.204000000000008</v>
      </c>
      <c r="L374" s="400">
        <f t="shared" si="73"/>
        <v>83.997</v>
      </c>
      <c r="M374" s="413">
        <f t="shared" si="74"/>
        <v>83.997</v>
      </c>
      <c r="N374" s="413">
        <f t="shared" si="75"/>
        <v>83.997</v>
      </c>
      <c r="O374" s="393">
        <f t="shared" si="76"/>
        <v>92.871094976176209</v>
      </c>
      <c r="P374" s="393">
        <f t="shared" si="77"/>
        <v>92.789999999999992</v>
      </c>
      <c r="Q374" s="393">
        <f t="shared" si="78"/>
        <v>81.828000000000003</v>
      </c>
      <c r="R374" s="393">
        <f t="shared" si="79"/>
        <v>75.204000000000008</v>
      </c>
      <c r="S374" s="393">
        <f t="shared" si="80"/>
        <v>77.402250000000009</v>
      </c>
      <c r="T374" s="393">
        <f t="shared" si="81"/>
        <v>83.997</v>
      </c>
      <c r="U374" s="413">
        <f t="shared" si="82"/>
        <v>83.997</v>
      </c>
    </row>
    <row r="375" spans="1:21">
      <c r="D375" s="317">
        <f t="shared" ref="D375" si="83">J375</f>
        <v>0</v>
      </c>
    </row>
  </sheetData>
  <sheetProtection sheet="1" objects="1" scenarios="1"/>
  <sortState xmlns:xlrd2="http://schemas.microsoft.com/office/spreadsheetml/2017/richdata2" ref="A8:D427">
    <sortCondition ref="C8:C427"/>
  </sortState>
  <pageMargins left="0.7" right="0.7" top="0.75" bottom="0.75" header="0.3" footer="0.3"/>
  <pageSetup paperSize="9" orientation="portrait" r:id="rId1"/>
  <legacyDrawing r:id="rId2"/>
</worksheet>
</file>

<file path=docMetadata/LabelInfo.xml><?xml version="1.0" encoding="utf-8"?>
<clbl:labelList xmlns:clbl="http://schemas.microsoft.com/office/2020/mipLabelMetadata">
  <clbl:label id="{f5dbba49-ce06-496f-ac3e-0cf14361d934}" enabled="0" method="" siteId="{f5dbba49-ce06-496f-ac3e-0cf14361d93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9</vt:i4>
      </vt:variant>
    </vt:vector>
  </HeadingPairs>
  <TitlesOfParts>
    <vt:vector size="18" baseType="lpstr">
      <vt:lpstr>Indtastningsark</vt:lpstr>
      <vt:lpstr>BASIS-regneark</vt:lpstr>
      <vt:lpstr>BASIS-diagrammer</vt:lpstr>
      <vt:lpstr>Indtastningsark-X</vt:lpstr>
      <vt:lpstr>BASIS-X-regneark </vt:lpstr>
      <vt:lpstr>BASIS-X-diagrammer</vt:lpstr>
      <vt:lpstr>Graddage mv.</vt:lpstr>
      <vt:lpstr>CO2-el</vt:lpstr>
      <vt:lpstr>CO2-fjernvarme</vt:lpstr>
      <vt:lpstr>'BASIS-diagrammer'!Udskriftsområde</vt:lpstr>
      <vt:lpstr>'BASIS-regneark'!Udskriftsområde</vt:lpstr>
      <vt:lpstr>'BASIS-X-diagrammer'!Udskriftsområde</vt:lpstr>
      <vt:lpstr>'BASIS-X-regneark '!Udskriftsområde</vt:lpstr>
      <vt:lpstr>'Graddage mv.'!Udskriftsområde</vt:lpstr>
      <vt:lpstr>Indtastningsark!Udskriftsområde</vt:lpstr>
      <vt:lpstr>'Indtastningsark-X'!Udskriftsområde</vt:lpstr>
      <vt:lpstr>'BASIS-regneark'!Udskriftsområde_MI</vt:lpstr>
      <vt:lpstr>'BASIS-X-regneark '!Udskriftsområde_MI</vt:lpstr>
    </vt:vector>
  </TitlesOfParts>
  <Company>SBI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Basis</dc:title>
  <dc:subject>Grønt regnskab</dc:subject>
  <dc:creator>seniorforsker Ole Michael Jensen</dc:creator>
  <dc:description>Tilgængeligt på www.sbi.dk</dc:description>
  <cp:lastModifiedBy>Ole Michael Jensen</cp:lastModifiedBy>
  <cp:lastPrinted>2025-05-27T11:56:25Z</cp:lastPrinted>
  <dcterms:created xsi:type="dcterms:W3CDTF">1998-03-09T09:52:25Z</dcterms:created>
  <dcterms:modified xsi:type="dcterms:W3CDTF">2025-06-10T10:59:56Z</dcterms:modified>
</cp:coreProperties>
</file>