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aaudk-my.sharepoint.com/personal/omj_sbi_aau_dk/Documents/Dokumenter/REGNEARK/Basis boliger/2025/"/>
    </mc:Choice>
  </mc:AlternateContent>
  <xr:revisionPtr revIDLastSave="379" documentId="8_{1B28C2FD-8A7C-4D27-8BF2-1F921C721C81}" xr6:coauthVersionLast="47" xr6:coauthVersionMax="47" xr10:uidLastSave="{C60C143A-3D38-4C85-B325-DD7A6263E54E}"/>
  <bookViews>
    <workbookView xWindow="-108" yWindow="-108" windowWidth="30936" windowHeight="16776" tabRatio="851" xr2:uid="{00000000-000D-0000-FFFF-FFFF00000000}"/>
  </bookViews>
  <sheets>
    <sheet name="Indtastningsark" sheetId="1" r:id="rId1"/>
    <sheet name="BASIS-regneark" sheetId="2" r:id="rId2"/>
    <sheet name="BASIS-diagrammer" sheetId="3" r:id="rId3"/>
    <sheet name="Indtastningsark-X" sheetId="4" r:id="rId4"/>
    <sheet name="BASIS-X-regneark " sheetId="5" r:id="rId5"/>
    <sheet name="BASIS-X-diagrammer" sheetId="6" r:id="rId6"/>
    <sheet name="Graddage mv." sheetId="8" r:id="rId7"/>
    <sheet name="CO2-el" sheetId="10" r:id="rId8"/>
    <sheet name="CO2-fjernvarme" sheetId="11" r:id="rId9"/>
  </sheets>
  <externalReferences>
    <externalReference r:id="rId10"/>
  </externalReferences>
  <definedNames>
    <definedName name="_xlnm.Print_Area" localSheetId="2">'BASIS-diagrammer'!$B$1:$K$49</definedName>
    <definedName name="_xlnm.Print_Area" localSheetId="1">'BASIS-regneark'!$A$1:$H$66</definedName>
    <definedName name="_xlnm.Print_Area" localSheetId="5">'BASIS-X-diagrammer'!$A$1:$J$49</definedName>
    <definedName name="_xlnm.Print_Area" localSheetId="4">'BASIS-X-regneark '!$A$1:$H$61</definedName>
    <definedName name="_xlnm.Print_Area" localSheetId="6">'Graddage mv.'!$A$1:$R$32</definedName>
    <definedName name="_xlnm.Print_Area" localSheetId="0">Indtastningsark!$A$1:$J$67</definedName>
    <definedName name="_xlnm.Print_Area" localSheetId="3">'Indtastningsark-X'!$A$1:$J$46</definedName>
    <definedName name="Udskriftsområde_MI" localSheetId="1">'BASIS-regneark'!$A$1:$I$115</definedName>
    <definedName name="Udskriftsområde_MI" localSheetId="4">'BASIS-X-regneark '!$A$1:$I$110</definedName>
    <definedName name="Udskriftsområde_MI">#REF!</definedName>
    <definedName name="varmeCO2">[1]Indtastningsark!$D$16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8" l="1"/>
  <c r="O10" i="8"/>
  <c r="O11" i="8"/>
  <c r="O12" i="8"/>
  <c r="O13" i="8"/>
  <c r="O14" i="8"/>
  <c r="O8" i="8"/>
  <c r="O19" i="8"/>
  <c r="O20" i="8"/>
  <c r="O21" i="8"/>
  <c r="O22" i="8"/>
  <c r="O23" i="8"/>
  <c r="O18" i="8"/>
  <c r="D17" i="1"/>
  <c r="E36" i="1" l="1"/>
  <c r="F36" i="1"/>
  <c r="G36" i="1"/>
  <c r="H36" i="1"/>
  <c r="I36" i="1"/>
  <c r="D36" i="1"/>
  <c r="K4" i="11"/>
  <c r="L4" i="1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7" i="11"/>
  <c r="D105" i="11"/>
  <c r="R104" i="11"/>
  <c r="Q104" i="11"/>
  <c r="P104" i="11"/>
  <c r="L104" i="11"/>
  <c r="O104" i="11" s="1"/>
  <c r="T104" i="11" s="1"/>
  <c r="J104" i="11"/>
  <c r="D104" i="11"/>
  <c r="R103" i="11"/>
  <c r="Q103" i="11"/>
  <c r="P103" i="11"/>
  <c r="L103" i="11"/>
  <c r="O103" i="11" s="1"/>
  <c r="T103" i="11" s="1"/>
  <c r="J103" i="11"/>
  <c r="D103" i="11"/>
  <c r="R102" i="11"/>
  <c r="Q102" i="11"/>
  <c r="P102" i="11"/>
  <c r="L102" i="11"/>
  <c r="O102" i="11" s="1"/>
  <c r="T102" i="11" s="1"/>
  <c r="J102" i="11"/>
  <c r="D102" i="11"/>
  <c r="R101" i="11"/>
  <c r="Q101" i="11"/>
  <c r="P101" i="11"/>
  <c r="L101" i="11"/>
  <c r="O101" i="11" s="1"/>
  <c r="T101" i="11" s="1"/>
  <c r="J101" i="11"/>
  <c r="D101" i="11"/>
  <c r="R100" i="11"/>
  <c r="Q100" i="11"/>
  <c r="P100" i="11"/>
  <c r="L100" i="11"/>
  <c r="O100" i="11" s="1"/>
  <c r="T100" i="11" s="1"/>
  <c r="J100" i="11"/>
  <c r="S100" i="11" s="1"/>
  <c r="D100" i="11"/>
  <c r="R99" i="11"/>
  <c r="Q99" i="11"/>
  <c r="P99" i="11"/>
  <c r="L99" i="11"/>
  <c r="M99" i="11" s="1"/>
  <c r="V99" i="11" s="1"/>
  <c r="J99" i="11"/>
  <c r="D99" i="11"/>
  <c r="R98" i="11"/>
  <c r="Q98" i="11"/>
  <c r="P98" i="11"/>
  <c r="L98" i="11"/>
  <c r="O98" i="11" s="1"/>
  <c r="T98" i="11" s="1"/>
  <c r="J98" i="11"/>
  <c r="D98" i="11"/>
  <c r="R97" i="11"/>
  <c r="Q97" i="11"/>
  <c r="P97" i="11"/>
  <c r="L97" i="11"/>
  <c r="O97" i="11" s="1"/>
  <c r="T97" i="11" s="1"/>
  <c r="J97" i="11"/>
  <c r="D97" i="11"/>
  <c r="R96" i="11"/>
  <c r="Q96" i="11"/>
  <c r="P96" i="11"/>
  <c r="L96" i="11"/>
  <c r="O96" i="11" s="1"/>
  <c r="T96" i="11" s="1"/>
  <c r="J96" i="11"/>
  <c r="D96" i="11"/>
  <c r="R95" i="11"/>
  <c r="Q95" i="11"/>
  <c r="P95" i="11"/>
  <c r="L95" i="11"/>
  <c r="M95" i="11" s="1"/>
  <c r="V95" i="11" s="1"/>
  <c r="J95" i="11"/>
  <c r="D95" i="11"/>
  <c r="R94" i="11"/>
  <c r="Q94" i="11"/>
  <c r="P94" i="11"/>
  <c r="L94" i="11"/>
  <c r="O94" i="11" s="1"/>
  <c r="T94" i="11" s="1"/>
  <c r="J94" i="11"/>
  <c r="D94" i="11"/>
  <c r="R93" i="11"/>
  <c r="Q93" i="11"/>
  <c r="P93" i="11"/>
  <c r="L93" i="11"/>
  <c r="O93" i="11" s="1"/>
  <c r="T93" i="11" s="1"/>
  <c r="J93" i="11"/>
  <c r="D93" i="11"/>
  <c r="R92" i="11"/>
  <c r="Q92" i="11"/>
  <c r="P92" i="11"/>
  <c r="L92" i="11"/>
  <c r="O92" i="11" s="1"/>
  <c r="T92" i="11" s="1"/>
  <c r="J92" i="11"/>
  <c r="S92" i="11" s="1"/>
  <c r="D92" i="11"/>
  <c r="R91" i="11"/>
  <c r="Q91" i="11"/>
  <c r="P91" i="11"/>
  <c r="L91" i="11"/>
  <c r="O91" i="11" s="1"/>
  <c r="T91" i="11" s="1"/>
  <c r="J91" i="11"/>
  <c r="D91" i="11"/>
  <c r="R90" i="11"/>
  <c r="Q90" i="11"/>
  <c r="P90" i="11"/>
  <c r="L90" i="11"/>
  <c r="O90" i="11" s="1"/>
  <c r="T90" i="11" s="1"/>
  <c r="J90" i="11"/>
  <c r="D90" i="11"/>
  <c r="R89" i="11"/>
  <c r="Q89" i="11"/>
  <c r="P89" i="11"/>
  <c r="L89" i="11"/>
  <c r="O89" i="11" s="1"/>
  <c r="T89" i="11" s="1"/>
  <c r="J89" i="11"/>
  <c r="D89" i="11"/>
  <c r="R88" i="11"/>
  <c r="Q88" i="11"/>
  <c r="P88" i="11"/>
  <c r="L88" i="11"/>
  <c r="O88" i="11" s="1"/>
  <c r="T88" i="11" s="1"/>
  <c r="J88" i="11"/>
  <c r="D88" i="11"/>
  <c r="L87" i="11"/>
  <c r="J87" i="11"/>
  <c r="D87" i="11"/>
  <c r="R86" i="11"/>
  <c r="Q86" i="11"/>
  <c r="P86" i="11"/>
  <c r="L86" i="11"/>
  <c r="M86" i="11" s="1"/>
  <c r="V86" i="11" s="1"/>
  <c r="J86" i="11"/>
  <c r="D86" i="11"/>
  <c r="R85" i="11"/>
  <c r="Q85" i="11"/>
  <c r="P85" i="11"/>
  <c r="L85" i="11"/>
  <c r="O85" i="11" s="1"/>
  <c r="T85" i="11" s="1"/>
  <c r="J85" i="11"/>
  <c r="D85" i="11"/>
  <c r="R84" i="11"/>
  <c r="Q84" i="11"/>
  <c r="P84" i="11"/>
  <c r="L84" i="11"/>
  <c r="M84" i="11" s="1"/>
  <c r="V84" i="11" s="1"/>
  <c r="J84" i="11"/>
  <c r="D84" i="11"/>
  <c r="R83" i="11"/>
  <c r="Q83" i="11"/>
  <c r="P83" i="11"/>
  <c r="L83" i="11"/>
  <c r="O83" i="11" s="1"/>
  <c r="T83" i="11" s="1"/>
  <c r="J83" i="11"/>
  <c r="D83" i="11"/>
  <c r="R82" i="11"/>
  <c r="Q82" i="11"/>
  <c r="P82" i="11"/>
  <c r="L82" i="11"/>
  <c r="M82" i="11" s="1"/>
  <c r="V82" i="11" s="1"/>
  <c r="J82" i="11"/>
  <c r="D82" i="11"/>
  <c r="R81" i="11"/>
  <c r="Q81" i="11"/>
  <c r="P81" i="11"/>
  <c r="L81" i="11"/>
  <c r="O81" i="11" s="1"/>
  <c r="T81" i="11" s="1"/>
  <c r="J81" i="11"/>
  <c r="D81" i="11"/>
  <c r="R80" i="11"/>
  <c r="Q80" i="11"/>
  <c r="P80" i="11"/>
  <c r="L80" i="11"/>
  <c r="M80" i="11" s="1"/>
  <c r="V80" i="11" s="1"/>
  <c r="J80" i="11"/>
  <c r="D80" i="11"/>
  <c r="R79" i="11"/>
  <c r="Q79" i="11"/>
  <c r="P79" i="11"/>
  <c r="L79" i="11"/>
  <c r="O79" i="11" s="1"/>
  <c r="T79" i="11" s="1"/>
  <c r="J79" i="11"/>
  <c r="D79" i="11"/>
  <c r="R78" i="11"/>
  <c r="Q78" i="11"/>
  <c r="P78" i="11"/>
  <c r="L78" i="11"/>
  <c r="M78" i="11" s="1"/>
  <c r="V78" i="11" s="1"/>
  <c r="J78" i="11"/>
  <c r="D78" i="11"/>
  <c r="R77" i="11"/>
  <c r="Q77" i="11"/>
  <c r="P77" i="11"/>
  <c r="L77" i="11"/>
  <c r="O77" i="11" s="1"/>
  <c r="T77" i="11" s="1"/>
  <c r="J77" i="11"/>
  <c r="D77" i="11"/>
  <c r="R76" i="11"/>
  <c r="Q76" i="11"/>
  <c r="P76" i="11"/>
  <c r="L76" i="11"/>
  <c r="M76" i="11" s="1"/>
  <c r="V76" i="11" s="1"/>
  <c r="J76" i="11"/>
  <c r="D76" i="11"/>
  <c r="R75" i="11"/>
  <c r="Q75" i="11"/>
  <c r="P75" i="11"/>
  <c r="L75" i="11"/>
  <c r="O75" i="11" s="1"/>
  <c r="T75" i="11" s="1"/>
  <c r="J75" i="11"/>
  <c r="D75" i="11"/>
  <c r="R74" i="11"/>
  <c r="Q74" i="11"/>
  <c r="P74" i="11"/>
  <c r="L74" i="11"/>
  <c r="O74" i="11" s="1"/>
  <c r="T74" i="11" s="1"/>
  <c r="J74" i="11"/>
  <c r="D74" i="11"/>
  <c r="R73" i="11"/>
  <c r="Q73" i="11"/>
  <c r="P73" i="11"/>
  <c r="L73" i="11"/>
  <c r="O73" i="11" s="1"/>
  <c r="T73" i="11" s="1"/>
  <c r="J73" i="11"/>
  <c r="D73" i="11"/>
  <c r="R72" i="11"/>
  <c r="Q72" i="11"/>
  <c r="P72" i="11"/>
  <c r="L72" i="11"/>
  <c r="M72" i="11" s="1"/>
  <c r="V72" i="11" s="1"/>
  <c r="J72" i="11"/>
  <c r="D72" i="11"/>
  <c r="R71" i="11"/>
  <c r="Q71" i="11"/>
  <c r="P71" i="11"/>
  <c r="L71" i="11"/>
  <c r="O71" i="11" s="1"/>
  <c r="T71" i="11" s="1"/>
  <c r="J71" i="11"/>
  <c r="D71" i="11"/>
  <c r="R70" i="11"/>
  <c r="Q70" i="11"/>
  <c r="P70" i="11"/>
  <c r="L70" i="11"/>
  <c r="M70" i="11" s="1"/>
  <c r="V70" i="11" s="1"/>
  <c r="J70" i="11"/>
  <c r="D70" i="11"/>
  <c r="R69" i="11"/>
  <c r="Q69" i="11"/>
  <c r="P69" i="11"/>
  <c r="L69" i="11"/>
  <c r="O69" i="11" s="1"/>
  <c r="T69" i="11" s="1"/>
  <c r="J69" i="11"/>
  <c r="D69" i="11"/>
  <c r="R68" i="11"/>
  <c r="Q68" i="11"/>
  <c r="P68" i="11"/>
  <c r="L68" i="11"/>
  <c r="O68" i="11" s="1"/>
  <c r="T68" i="11" s="1"/>
  <c r="J68" i="11"/>
  <c r="D68" i="11"/>
  <c r="R67" i="11"/>
  <c r="Q67" i="11"/>
  <c r="P67" i="11"/>
  <c r="L67" i="11"/>
  <c r="O67" i="11" s="1"/>
  <c r="T67" i="11" s="1"/>
  <c r="J67" i="11"/>
  <c r="D67" i="11"/>
  <c r="R66" i="11"/>
  <c r="Q66" i="11"/>
  <c r="P66" i="11"/>
  <c r="L66" i="11"/>
  <c r="O66" i="11" s="1"/>
  <c r="T66" i="11" s="1"/>
  <c r="J66" i="11"/>
  <c r="D66" i="11"/>
  <c r="R65" i="11"/>
  <c r="Q65" i="11"/>
  <c r="P65" i="11"/>
  <c r="L65" i="11"/>
  <c r="O65" i="11" s="1"/>
  <c r="T65" i="11" s="1"/>
  <c r="J65" i="11"/>
  <c r="D65" i="11"/>
  <c r="R64" i="11"/>
  <c r="Q64" i="11"/>
  <c r="P64" i="11"/>
  <c r="L64" i="11"/>
  <c r="M64" i="11" s="1"/>
  <c r="V64" i="11" s="1"/>
  <c r="J64" i="11"/>
  <c r="D64" i="11"/>
  <c r="R63" i="11"/>
  <c r="Q63" i="11"/>
  <c r="P63" i="11"/>
  <c r="L63" i="11"/>
  <c r="O63" i="11" s="1"/>
  <c r="T63" i="11" s="1"/>
  <c r="J63" i="11"/>
  <c r="D63" i="11"/>
  <c r="R62" i="11"/>
  <c r="Q62" i="11"/>
  <c r="P62" i="11"/>
  <c r="L62" i="11"/>
  <c r="O62" i="11" s="1"/>
  <c r="T62" i="11" s="1"/>
  <c r="J62" i="11"/>
  <c r="D62" i="11"/>
  <c r="R61" i="11"/>
  <c r="Q61" i="11"/>
  <c r="P61" i="11"/>
  <c r="L61" i="11"/>
  <c r="O61" i="11" s="1"/>
  <c r="T61" i="11" s="1"/>
  <c r="J61" i="11"/>
  <c r="D61" i="11"/>
  <c r="R60" i="11"/>
  <c r="Q60" i="11"/>
  <c r="P60" i="11"/>
  <c r="L60" i="11"/>
  <c r="O60" i="11" s="1"/>
  <c r="T60" i="11" s="1"/>
  <c r="J60" i="11"/>
  <c r="D60" i="11"/>
  <c r="R59" i="11"/>
  <c r="Q59" i="11"/>
  <c r="P59" i="11"/>
  <c r="L59" i="11"/>
  <c r="O59" i="11" s="1"/>
  <c r="T59" i="11" s="1"/>
  <c r="J59" i="11"/>
  <c r="D59" i="11"/>
  <c r="R58" i="11"/>
  <c r="Q58" i="11"/>
  <c r="P58" i="11"/>
  <c r="L58" i="11"/>
  <c r="O58" i="11" s="1"/>
  <c r="T58" i="11" s="1"/>
  <c r="J58" i="11"/>
  <c r="D58" i="11"/>
  <c r="R57" i="11"/>
  <c r="Q57" i="11"/>
  <c r="P57" i="11"/>
  <c r="L57" i="11"/>
  <c r="O57" i="11" s="1"/>
  <c r="T57" i="11" s="1"/>
  <c r="J57" i="11"/>
  <c r="D57" i="11"/>
  <c r="R56" i="11"/>
  <c r="Q56" i="11"/>
  <c r="P56" i="11"/>
  <c r="L56" i="11"/>
  <c r="O56" i="11" s="1"/>
  <c r="T56" i="11" s="1"/>
  <c r="J56" i="11"/>
  <c r="D56" i="11"/>
  <c r="R55" i="11"/>
  <c r="Q55" i="11"/>
  <c r="P55" i="11"/>
  <c r="L55" i="11"/>
  <c r="O55" i="11" s="1"/>
  <c r="T55" i="11" s="1"/>
  <c r="J55" i="11"/>
  <c r="D55" i="11"/>
  <c r="R54" i="11"/>
  <c r="Q54" i="11"/>
  <c r="P54" i="11"/>
  <c r="L54" i="11"/>
  <c r="O54" i="11" s="1"/>
  <c r="T54" i="11" s="1"/>
  <c r="J54" i="11"/>
  <c r="D54" i="11"/>
  <c r="R53" i="11"/>
  <c r="Q53" i="11"/>
  <c r="P53" i="11"/>
  <c r="L53" i="11"/>
  <c r="O53" i="11" s="1"/>
  <c r="T53" i="11" s="1"/>
  <c r="J53" i="11"/>
  <c r="D53" i="11"/>
  <c r="R52" i="11"/>
  <c r="Q52" i="11"/>
  <c r="P52" i="11"/>
  <c r="L52" i="11"/>
  <c r="O52" i="11" s="1"/>
  <c r="T52" i="11" s="1"/>
  <c r="J52" i="11"/>
  <c r="D52" i="11"/>
  <c r="R51" i="11"/>
  <c r="Q51" i="11"/>
  <c r="P51" i="11"/>
  <c r="L51" i="11"/>
  <c r="O51" i="11" s="1"/>
  <c r="T51" i="11" s="1"/>
  <c r="J51" i="11"/>
  <c r="D51" i="11"/>
  <c r="R50" i="11"/>
  <c r="Q50" i="11"/>
  <c r="P50" i="11"/>
  <c r="L50" i="11"/>
  <c r="O50" i="11" s="1"/>
  <c r="T50" i="11" s="1"/>
  <c r="J50" i="11"/>
  <c r="D50" i="11"/>
  <c r="R49" i="11"/>
  <c r="Q49" i="11"/>
  <c r="P49" i="11"/>
  <c r="L49" i="11"/>
  <c r="O49" i="11" s="1"/>
  <c r="T49" i="11" s="1"/>
  <c r="J49" i="11"/>
  <c r="D49" i="11"/>
  <c r="R48" i="11"/>
  <c r="Q48" i="11"/>
  <c r="P48" i="11"/>
  <c r="L48" i="11"/>
  <c r="M48" i="11" s="1"/>
  <c r="V48" i="11" s="1"/>
  <c r="J48" i="11"/>
  <c r="D48" i="11"/>
  <c r="R47" i="11"/>
  <c r="Q47" i="11"/>
  <c r="P47" i="11"/>
  <c r="L47" i="11"/>
  <c r="O47" i="11" s="1"/>
  <c r="T47" i="11" s="1"/>
  <c r="J47" i="11"/>
  <c r="S47" i="11" s="1"/>
  <c r="D47" i="11"/>
  <c r="R46" i="11"/>
  <c r="Q46" i="11"/>
  <c r="P46" i="11"/>
  <c r="L46" i="11"/>
  <c r="O46" i="11" s="1"/>
  <c r="T46" i="11" s="1"/>
  <c r="J46" i="11"/>
  <c r="D46" i="11"/>
  <c r="R45" i="11"/>
  <c r="Q45" i="11"/>
  <c r="P45" i="11"/>
  <c r="L45" i="11"/>
  <c r="O45" i="11" s="1"/>
  <c r="T45" i="11" s="1"/>
  <c r="J45" i="11"/>
  <c r="D45" i="11"/>
  <c r="R44" i="11"/>
  <c r="Q44" i="11"/>
  <c r="P44" i="11"/>
  <c r="L44" i="11"/>
  <c r="O44" i="11" s="1"/>
  <c r="T44" i="11" s="1"/>
  <c r="J44" i="11"/>
  <c r="D44" i="11"/>
  <c r="R43" i="11"/>
  <c r="Q43" i="11"/>
  <c r="P43" i="11"/>
  <c r="L43" i="11"/>
  <c r="O43" i="11" s="1"/>
  <c r="T43" i="11" s="1"/>
  <c r="J43" i="11"/>
  <c r="D43" i="11"/>
  <c r="R42" i="11"/>
  <c r="Q42" i="11"/>
  <c r="P42" i="11"/>
  <c r="L42" i="11"/>
  <c r="O42" i="11" s="1"/>
  <c r="T42" i="11" s="1"/>
  <c r="J42" i="11"/>
  <c r="D42" i="11"/>
  <c r="R41" i="11"/>
  <c r="Q41" i="11"/>
  <c r="P41" i="11"/>
  <c r="L41" i="11"/>
  <c r="O41" i="11" s="1"/>
  <c r="T41" i="11" s="1"/>
  <c r="J41" i="11"/>
  <c r="D41" i="11"/>
  <c r="R40" i="11"/>
  <c r="Q40" i="11"/>
  <c r="P40" i="11"/>
  <c r="L40" i="11"/>
  <c r="O40" i="11" s="1"/>
  <c r="T40" i="11" s="1"/>
  <c r="J40" i="11"/>
  <c r="D40" i="11"/>
  <c r="R39" i="11"/>
  <c r="Q39" i="11"/>
  <c r="P39" i="11"/>
  <c r="L39" i="11"/>
  <c r="O39" i="11" s="1"/>
  <c r="T39" i="11" s="1"/>
  <c r="J39" i="11"/>
  <c r="D39" i="11"/>
  <c r="R38" i="11"/>
  <c r="Q38" i="11"/>
  <c r="P38" i="11"/>
  <c r="L38" i="11"/>
  <c r="M38" i="11" s="1"/>
  <c r="V38" i="11" s="1"/>
  <c r="J38" i="11"/>
  <c r="D38" i="11"/>
  <c r="R37" i="11"/>
  <c r="Q37" i="11"/>
  <c r="P37" i="11"/>
  <c r="L37" i="11"/>
  <c r="O37" i="11" s="1"/>
  <c r="T37" i="11" s="1"/>
  <c r="J37" i="11"/>
  <c r="D37" i="11"/>
  <c r="R36" i="11"/>
  <c r="Q36" i="11"/>
  <c r="P36" i="11"/>
  <c r="L36" i="11"/>
  <c r="O36" i="11" s="1"/>
  <c r="T36" i="11" s="1"/>
  <c r="J36" i="11"/>
  <c r="D36" i="11"/>
  <c r="R35" i="11"/>
  <c r="Q35" i="11"/>
  <c r="P35" i="11"/>
  <c r="L35" i="11"/>
  <c r="O35" i="11" s="1"/>
  <c r="T35" i="11" s="1"/>
  <c r="J35" i="11"/>
  <c r="D35" i="11"/>
  <c r="R34" i="11"/>
  <c r="Q34" i="11"/>
  <c r="P34" i="11"/>
  <c r="L34" i="11"/>
  <c r="M34" i="11" s="1"/>
  <c r="V34" i="11" s="1"/>
  <c r="J34" i="11"/>
  <c r="D34" i="11"/>
  <c r="R33" i="11"/>
  <c r="Q33" i="11"/>
  <c r="P33" i="11"/>
  <c r="L33" i="11"/>
  <c r="O33" i="11" s="1"/>
  <c r="T33" i="11" s="1"/>
  <c r="J33" i="11"/>
  <c r="D33" i="11"/>
  <c r="R32" i="11"/>
  <c r="Q32" i="11"/>
  <c r="P32" i="11"/>
  <c r="L32" i="11"/>
  <c r="M32" i="11" s="1"/>
  <c r="V32" i="11" s="1"/>
  <c r="J32" i="11"/>
  <c r="D32" i="11"/>
  <c r="R31" i="11"/>
  <c r="Q31" i="11"/>
  <c r="P31" i="11"/>
  <c r="L31" i="11"/>
  <c r="O31" i="11" s="1"/>
  <c r="T31" i="11" s="1"/>
  <c r="J31" i="11"/>
  <c r="D31" i="11"/>
  <c r="R30" i="11"/>
  <c r="Q30" i="11"/>
  <c r="P30" i="11"/>
  <c r="L30" i="11"/>
  <c r="O30" i="11" s="1"/>
  <c r="T30" i="11" s="1"/>
  <c r="J30" i="11"/>
  <c r="D30" i="11"/>
  <c r="R29" i="11"/>
  <c r="Q29" i="11"/>
  <c r="P29" i="11"/>
  <c r="L29" i="11"/>
  <c r="O29" i="11" s="1"/>
  <c r="T29" i="11" s="1"/>
  <c r="J29" i="11"/>
  <c r="D29" i="11"/>
  <c r="R28" i="11"/>
  <c r="Q28" i="11"/>
  <c r="P28" i="11"/>
  <c r="L28" i="11"/>
  <c r="O28" i="11" s="1"/>
  <c r="T28" i="11" s="1"/>
  <c r="J28" i="11"/>
  <c r="D28" i="11"/>
  <c r="R27" i="11"/>
  <c r="Q27" i="11"/>
  <c r="P27" i="11"/>
  <c r="L27" i="11"/>
  <c r="O27" i="11" s="1"/>
  <c r="T27" i="11" s="1"/>
  <c r="J27" i="11"/>
  <c r="D27" i="11"/>
  <c r="R26" i="11"/>
  <c r="Q26" i="11"/>
  <c r="P26" i="11"/>
  <c r="L26" i="11"/>
  <c r="O26" i="11" s="1"/>
  <c r="T26" i="11" s="1"/>
  <c r="J26" i="11"/>
  <c r="D26" i="11"/>
  <c r="R25" i="11"/>
  <c r="Q25" i="11"/>
  <c r="P25" i="11"/>
  <c r="L25" i="11"/>
  <c r="O25" i="11" s="1"/>
  <c r="T25" i="11" s="1"/>
  <c r="J25" i="11"/>
  <c r="D25" i="11"/>
  <c r="R24" i="11"/>
  <c r="Q24" i="11"/>
  <c r="P24" i="11"/>
  <c r="L24" i="11"/>
  <c r="O24" i="11" s="1"/>
  <c r="T24" i="11" s="1"/>
  <c r="J24" i="11"/>
  <c r="D24" i="11"/>
  <c r="R23" i="11"/>
  <c r="Q23" i="11"/>
  <c r="P23" i="11"/>
  <c r="L23" i="11"/>
  <c r="O23" i="11" s="1"/>
  <c r="T23" i="11" s="1"/>
  <c r="J23" i="11"/>
  <c r="D23" i="11"/>
  <c r="R22" i="11"/>
  <c r="Q22" i="11"/>
  <c r="P22" i="11"/>
  <c r="L22" i="11"/>
  <c r="M22" i="11" s="1"/>
  <c r="V22" i="11" s="1"/>
  <c r="J22" i="11"/>
  <c r="D22" i="11"/>
  <c r="R21" i="11"/>
  <c r="Q21" i="11"/>
  <c r="P21" i="11"/>
  <c r="L21" i="11"/>
  <c r="O21" i="11" s="1"/>
  <c r="T21" i="11" s="1"/>
  <c r="J21" i="11"/>
  <c r="D21" i="11"/>
  <c r="R20" i="11"/>
  <c r="Q20" i="11"/>
  <c r="P20" i="11"/>
  <c r="L20" i="11"/>
  <c r="O20" i="11" s="1"/>
  <c r="T20" i="11" s="1"/>
  <c r="J20" i="11"/>
  <c r="D20" i="11"/>
  <c r="R19" i="11"/>
  <c r="Q19" i="11"/>
  <c r="P19" i="11"/>
  <c r="L19" i="11"/>
  <c r="O19" i="11" s="1"/>
  <c r="T19" i="11" s="1"/>
  <c r="J19" i="11"/>
  <c r="D19" i="11"/>
  <c r="R18" i="11"/>
  <c r="Q18" i="11"/>
  <c r="P18" i="11"/>
  <c r="L18" i="11"/>
  <c r="O18" i="11" s="1"/>
  <c r="T18" i="11" s="1"/>
  <c r="J18" i="11"/>
  <c r="D18" i="11"/>
  <c r="R17" i="11"/>
  <c r="Q17" i="11"/>
  <c r="P17" i="11"/>
  <c r="L17" i="11"/>
  <c r="O17" i="11" s="1"/>
  <c r="T17" i="11" s="1"/>
  <c r="J17" i="11"/>
  <c r="D17" i="11"/>
  <c r="R16" i="11"/>
  <c r="Q16" i="11"/>
  <c r="P16" i="11"/>
  <c r="L16" i="11"/>
  <c r="M16" i="11" s="1"/>
  <c r="V16" i="11" s="1"/>
  <c r="J16" i="11"/>
  <c r="D16" i="11"/>
  <c r="L15" i="11"/>
  <c r="O15" i="11" s="1"/>
  <c r="T15" i="11" s="1"/>
  <c r="J15" i="11"/>
  <c r="D15" i="11"/>
  <c r="R14" i="11"/>
  <c r="Q14" i="11"/>
  <c r="P14" i="11"/>
  <c r="L14" i="11"/>
  <c r="O14" i="11" s="1"/>
  <c r="T14" i="11" s="1"/>
  <c r="J14" i="11"/>
  <c r="D14" i="11"/>
  <c r="R13" i="11"/>
  <c r="Q13" i="11"/>
  <c r="P13" i="11"/>
  <c r="L13" i="11"/>
  <c r="M13" i="11" s="1"/>
  <c r="V13" i="11" s="1"/>
  <c r="J13" i="11"/>
  <c r="D13" i="11"/>
  <c r="R12" i="11"/>
  <c r="Q12" i="11"/>
  <c r="P12" i="11"/>
  <c r="L12" i="11"/>
  <c r="O12" i="11" s="1"/>
  <c r="T12" i="11" s="1"/>
  <c r="J12" i="11"/>
  <c r="D12" i="11"/>
  <c r="R11" i="11"/>
  <c r="Q11" i="11"/>
  <c r="P11" i="11"/>
  <c r="L11" i="11"/>
  <c r="M11" i="11" s="1"/>
  <c r="V11" i="11" s="1"/>
  <c r="J11" i="11"/>
  <c r="D11" i="11"/>
  <c r="R10" i="11"/>
  <c r="Q10" i="11"/>
  <c r="P10" i="11"/>
  <c r="L10" i="11"/>
  <c r="O10" i="11" s="1"/>
  <c r="T10" i="11" s="1"/>
  <c r="J10" i="11"/>
  <c r="D10" i="11"/>
  <c r="R9" i="11"/>
  <c r="Q9" i="11"/>
  <c r="P9" i="11"/>
  <c r="L9" i="11"/>
  <c r="O9" i="11" s="1"/>
  <c r="T9" i="11" s="1"/>
  <c r="J9" i="11"/>
  <c r="D9" i="11"/>
  <c r="R8" i="11"/>
  <c r="Q8" i="11"/>
  <c r="P8" i="11"/>
  <c r="L8" i="11"/>
  <c r="O8" i="11" s="1"/>
  <c r="T8" i="11" s="1"/>
  <c r="J8" i="11"/>
  <c r="D8" i="11"/>
  <c r="S7" i="11"/>
  <c r="R7" i="11"/>
  <c r="Q7" i="11"/>
  <c r="P7" i="11"/>
  <c r="L7" i="11"/>
  <c r="J7" i="11"/>
  <c r="T7" i="11" s="1"/>
  <c r="D7" i="11"/>
  <c r="F4" i="11"/>
  <c r="G4" i="11" s="1"/>
  <c r="H4" i="11" s="1"/>
  <c r="I4" i="11" s="1"/>
  <c r="J4" i="11" s="1"/>
  <c r="S61" i="11" l="1"/>
  <c r="S69" i="11"/>
  <c r="S80" i="11"/>
  <c r="S78" i="11"/>
  <c r="S77" i="11"/>
  <c r="O78" i="11"/>
  <c r="T78" i="11" s="1"/>
  <c r="M77" i="11"/>
  <c r="V77" i="11" s="1"/>
  <c r="S99" i="11"/>
  <c r="S43" i="11"/>
  <c r="S28" i="11"/>
  <c r="S75" i="11"/>
  <c r="S89" i="11"/>
  <c r="S103" i="11"/>
  <c r="O13" i="11"/>
  <c r="T13" i="11" s="1"/>
  <c r="O34" i="11"/>
  <c r="T34" i="11" s="1"/>
  <c r="M35" i="11"/>
  <c r="V35" i="11" s="1"/>
  <c r="M36" i="11"/>
  <c r="V36" i="11" s="1"/>
  <c r="M53" i="11"/>
  <c r="V53" i="11" s="1"/>
  <c r="M54" i="11"/>
  <c r="V54" i="11" s="1"/>
  <c r="S31" i="11"/>
  <c r="O72" i="11"/>
  <c r="T72" i="11" s="1"/>
  <c r="S101" i="11"/>
  <c r="S10" i="11"/>
  <c r="S11" i="11"/>
  <c r="S12" i="11"/>
  <c r="S27" i="11"/>
  <c r="S46" i="11"/>
  <c r="M10" i="11"/>
  <c r="V10" i="11" s="1"/>
  <c r="O11" i="11"/>
  <c r="T11" i="11" s="1"/>
  <c r="M12" i="11"/>
  <c r="V12" i="11" s="1"/>
  <c r="O64" i="11"/>
  <c r="T64" i="11" s="1"/>
  <c r="M65" i="11"/>
  <c r="V65" i="11" s="1"/>
  <c r="M66" i="11"/>
  <c r="V66" i="11" s="1"/>
  <c r="S79" i="11"/>
  <c r="M79" i="11"/>
  <c r="V79" i="11" s="1"/>
  <c r="S70" i="11"/>
  <c r="S53" i="11"/>
  <c r="S54" i="11"/>
  <c r="S64" i="11"/>
  <c r="S65" i="11"/>
  <c r="S66" i="11"/>
  <c r="O70" i="11"/>
  <c r="T70" i="11" s="1"/>
  <c r="M71" i="11"/>
  <c r="V71" i="11" s="1"/>
  <c r="S83" i="11"/>
  <c r="S8" i="11"/>
  <c r="S44" i="11"/>
  <c r="S82" i="11"/>
  <c r="S94" i="11"/>
  <c r="O48" i="11"/>
  <c r="T48" i="11" s="1"/>
  <c r="M49" i="11"/>
  <c r="V49" i="11" s="1"/>
  <c r="M50" i="11"/>
  <c r="V50" i="11" s="1"/>
  <c r="M55" i="11"/>
  <c r="V55" i="11" s="1"/>
  <c r="M56" i="11"/>
  <c r="V56" i="11" s="1"/>
  <c r="S16" i="11"/>
  <c r="S17" i="11"/>
  <c r="S23" i="11"/>
  <c r="S24" i="11"/>
  <c r="M27" i="11"/>
  <c r="V27" i="11" s="1"/>
  <c r="M28" i="11"/>
  <c r="V28" i="11" s="1"/>
  <c r="S45" i="11"/>
  <c r="S63" i="11"/>
  <c r="M69" i="11"/>
  <c r="V69" i="11" s="1"/>
  <c r="S84" i="11"/>
  <c r="S85" i="11"/>
  <c r="S90" i="11"/>
  <c r="S98" i="11"/>
  <c r="O16" i="11"/>
  <c r="T16" i="11" s="1"/>
  <c r="M17" i="11"/>
  <c r="V17" i="11" s="1"/>
  <c r="M18" i="11"/>
  <c r="V18" i="11" s="1"/>
  <c r="O22" i="11"/>
  <c r="T22" i="11" s="1"/>
  <c r="M23" i="11"/>
  <c r="V23" i="11" s="1"/>
  <c r="M24" i="11"/>
  <c r="V24" i="11" s="1"/>
  <c r="O84" i="11"/>
  <c r="T84" i="11" s="1"/>
  <c r="M85" i="11"/>
  <c r="V85" i="11" s="1"/>
  <c r="M19" i="11"/>
  <c r="V19" i="11" s="1"/>
  <c r="M20" i="11"/>
  <c r="V20" i="11" s="1"/>
  <c r="S32" i="11"/>
  <c r="S33" i="11"/>
  <c r="S34" i="11"/>
  <c r="S39" i="11"/>
  <c r="S40" i="11"/>
  <c r="M43" i="11"/>
  <c r="V43" i="11" s="1"/>
  <c r="S59" i="11"/>
  <c r="S60" i="11"/>
  <c r="S95" i="11"/>
  <c r="S104" i="11"/>
  <c r="M14" i="11"/>
  <c r="V14" i="11" s="1"/>
  <c r="M15" i="11"/>
  <c r="V15" i="11" s="1"/>
  <c r="O32" i="11"/>
  <c r="T32" i="11" s="1"/>
  <c r="M33" i="11"/>
  <c r="V33" i="11" s="1"/>
  <c r="O38" i="11"/>
  <c r="T38" i="11" s="1"/>
  <c r="M39" i="11"/>
  <c r="V39" i="11" s="1"/>
  <c r="M40" i="11"/>
  <c r="V40" i="11" s="1"/>
  <c r="S48" i="11"/>
  <c r="S49" i="11"/>
  <c r="S50" i="11"/>
  <c r="M59" i="11"/>
  <c r="V59" i="11" s="1"/>
  <c r="S76" i="11"/>
  <c r="S102" i="11"/>
  <c r="S9" i="11"/>
  <c r="M25" i="11"/>
  <c r="V25" i="11" s="1"/>
  <c r="M26" i="11"/>
  <c r="V26" i="11" s="1"/>
  <c r="S29" i="11"/>
  <c r="S30" i="11"/>
  <c r="M41" i="11"/>
  <c r="V41" i="11" s="1"/>
  <c r="M42" i="11"/>
  <c r="V42" i="11" s="1"/>
  <c r="M57" i="11"/>
  <c r="V57" i="11" s="1"/>
  <c r="M58" i="11"/>
  <c r="V58" i="11" s="1"/>
  <c r="S62" i="11"/>
  <c r="M73" i="11"/>
  <c r="V73" i="11" s="1"/>
  <c r="M74" i="11"/>
  <c r="V74" i="11" s="1"/>
  <c r="S81" i="11"/>
  <c r="M88" i="11"/>
  <c r="V88" i="11" s="1"/>
  <c r="M89" i="11"/>
  <c r="V89" i="11" s="1"/>
  <c r="S91" i="11"/>
  <c r="S93" i="11"/>
  <c r="S96" i="11"/>
  <c r="S97" i="11"/>
  <c r="O7" i="11"/>
  <c r="M44" i="11"/>
  <c r="V44" i="11" s="1"/>
  <c r="M60" i="11"/>
  <c r="V60" i="11" s="1"/>
  <c r="M75" i="11"/>
  <c r="V75" i="11" s="1"/>
  <c r="O76" i="11"/>
  <c r="T76" i="11" s="1"/>
  <c r="M8" i="11"/>
  <c r="V8" i="11" s="1"/>
  <c r="M9" i="11"/>
  <c r="V9" i="11" s="1"/>
  <c r="S13" i="11"/>
  <c r="S18" i="11"/>
  <c r="M29" i="11"/>
  <c r="V29" i="11" s="1"/>
  <c r="M30" i="11"/>
  <c r="V30" i="11" s="1"/>
  <c r="M45" i="11"/>
  <c r="V45" i="11" s="1"/>
  <c r="M46" i="11"/>
  <c r="V46" i="11" s="1"/>
  <c r="M61" i="11"/>
  <c r="V61" i="11" s="1"/>
  <c r="M62" i="11"/>
  <c r="V62" i="11" s="1"/>
  <c r="O80" i="11"/>
  <c r="T80" i="11" s="1"/>
  <c r="M81" i="11"/>
  <c r="V81" i="11" s="1"/>
  <c r="M90" i="11"/>
  <c r="V90" i="11" s="1"/>
  <c r="M91" i="11"/>
  <c r="V91" i="11" s="1"/>
  <c r="M93" i="11"/>
  <c r="V93" i="11" s="1"/>
  <c r="O95" i="11"/>
  <c r="T95" i="11" s="1"/>
  <c r="M96" i="11"/>
  <c r="V96" i="11" s="1"/>
  <c r="M97" i="11"/>
  <c r="V97" i="11" s="1"/>
  <c r="M104" i="11"/>
  <c r="V104" i="11" s="1"/>
  <c r="M7" i="11"/>
  <c r="V7" i="11" s="1"/>
  <c r="S14" i="11"/>
  <c r="S15" i="11"/>
  <c r="S19" i="11"/>
  <c r="S20" i="11"/>
  <c r="M31" i="11"/>
  <c r="V31" i="11" s="1"/>
  <c r="S35" i="11"/>
  <c r="S36" i="11"/>
  <c r="M47" i="11"/>
  <c r="V47" i="11" s="1"/>
  <c r="S51" i="11"/>
  <c r="S52" i="11"/>
  <c r="M63" i="11"/>
  <c r="V63" i="11" s="1"/>
  <c r="S67" i="11"/>
  <c r="S68" i="11"/>
  <c r="O82" i="11"/>
  <c r="T82" i="11" s="1"/>
  <c r="M83" i="11"/>
  <c r="V83" i="11" s="1"/>
  <c r="S86" i="11"/>
  <c r="M98" i="11"/>
  <c r="V98" i="11" s="1"/>
  <c r="O99" i="11"/>
  <c r="T99" i="11" s="1"/>
  <c r="M100" i="11"/>
  <c r="V100" i="11" s="1"/>
  <c r="M102" i="11"/>
  <c r="V102" i="11" s="1"/>
  <c r="S21" i="11"/>
  <c r="S22" i="11"/>
  <c r="S37" i="11"/>
  <c r="S38" i="11"/>
  <c r="M51" i="11"/>
  <c r="V51" i="11" s="1"/>
  <c r="M52" i="11"/>
  <c r="V52" i="11" s="1"/>
  <c r="S55" i="11"/>
  <c r="S56" i="11"/>
  <c r="M67" i="11"/>
  <c r="V67" i="11" s="1"/>
  <c r="M68" i="11"/>
  <c r="V68" i="11" s="1"/>
  <c r="S71" i="11"/>
  <c r="S72" i="11"/>
  <c r="O86" i="11"/>
  <c r="T86" i="11" s="1"/>
  <c r="M21" i="11"/>
  <c r="V21" i="11" s="1"/>
  <c r="S25" i="11"/>
  <c r="S26" i="11"/>
  <c r="M37" i="11"/>
  <c r="V37" i="11" s="1"/>
  <c r="S41" i="11"/>
  <c r="S42" i="11"/>
  <c r="S57" i="11"/>
  <c r="S58" i="11"/>
  <c r="S73" i="11"/>
  <c r="S74" i="11"/>
  <c r="S88" i="11"/>
  <c r="M101" i="11"/>
  <c r="V101" i="11" s="1"/>
  <c r="M103" i="11"/>
  <c r="V103" i="11" s="1"/>
  <c r="M92" i="11"/>
  <c r="V92" i="11" s="1"/>
  <c r="M94" i="11"/>
  <c r="V94" i="11" s="1"/>
  <c r="M6" i="10" l="1"/>
  <c r="N6" i="10"/>
  <c r="O6" i="10"/>
  <c r="P6" i="10"/>
  <c r="Q6" i="10"/>
  <c r="L6" i="10"/>
  <c r="H54" i="1" l="1"/>
  <c r="G54" i="1"/>
  <c r="D31" i="4"/>
  <c r="E31" i="4"/>
  <c r="F31" i="4"/>
  <c r="H31" i="4"/>
  <c r="I31" i="4"/>
  <c r="G31" i="4"/>
  <c r="O7" i="8" l="1"/>
  <c r="O17" i="8" s="1"/>
  <c r="O25" i="8" l="1"/>
  <c r="O15" i="8"/>
  <c r="D33" i="2" l="1"/>
  <c r="F32" i="2" l="1"/>
  <c r="G32" i="2"/>
  <c r="H32" i="2"/>
  <c r="F33" i="2"/>
  <c r="G33" i="2"/>
  <c r="H33" i="2"/>
  <c r="D32" i="2"/>
  <c r="E32" i="2"/>
  <c r="E33" i="2"/>
  <c r="C33" i="2"/>
  <c r="C32" i="2"/>
  <c r="C28" i="5"/>
  <c r="C30" i="5" s="1"/>
  <c r="D28" i="5"/>
  <c r="D30" i="5" s="1"/>
  <c r="E28" i="5"/>
  <c r="E30" i="5" s="1"/>
  <c r="F28" i="5"/>
  <c r="G28" i="5"/>
  <c r="H28" i="5"/>
  <c r="C11" i="2"/>
  <c r="D11" i="2"/>
  <c r="F54" i="1" l="1"/>
  <c r="E34" i="2" s="1"/>
  <c r="E35" i="2" s="1"/>
  <c r="E54" i="1"/>
  <c r="D34" i="2" s="1"/>
  <c r="D35" i="2" s="1"/>
  <c r="D54" i="1"/>
  <c r="C34" i="2" s="1"/>
  <c r="C37" i="2" s="1"/>
  <c r="H27" i="5"/>
  <c r="C27" i="5"/>
  <c r="G27" i="5"/>
  <c r="I54" i="1"/>
  <c r="H34" i="2" s="1"/>
  <c r="G34" i="2"/>
  <c r="G35" i="2" s="1"/>
  <c r="F34" i="2"/>
  <c r="F27" i="5"/>
  <c r="E27" i="5"/>
  <c r="D27" i="5"/>
  <c r="C35" i="2" l="1"/>
  <c r="D37" i="2"/>
  <c r="H35" i="2"/>
  <c r="F35" i="2"/>
  <c r="C17" i="2"/>
  <c r="D17" i="2"/>
  <c r="E17" i="2"/>
  <c r="F17" i="2"/>
  <c r="G17" i="2"/>
  <c r="H17" i="2"/>
  <c r="E14" i="2"/>
  <c r="F14" i="2"/>
  <c r="G14" i="2"/>
  <c r="H14" i="2"/>
  <c r="D14" i="2"/>
  <c r="B3" i="1"/>
  <c r="W18" i="8"/>
  <c r="W24" i="8"/>
  <c r="W19" i="8"/>
  <c r="I45" i="2"/>
  <c r="K6" i="10"/>
  <c r="C4" i="10" l="1"/>
  <c r="D4" i="10" l="1"/>
  <c r="E4" i="10" s="1"/>
  <c r="F4" i="10" l="1"/>
  <c r="G4" i="10" l="1"/>
  <c r="H4" i="10" l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A2" i="1"/>
  <c r="I37" i="1" l="1"/>
  <c r="H62" i="2" s="1"/>
  <c r="G37" i="1"/>
  <c r="F62" i="2" s="1"/>
  <c r="H37" i="1"/>
  <c r="G62" i="2" s="1"/>
  <c r="F37" i="1"/>
  <c r="E62" i="2" s="1"/>
  <c r="D37" i="1"/>
  <c r="C62" i="2" s="1"/>
  <c r="E37" i="1"/>
  <c r="D62" i="2" s="1"/>
  <c r="H61" i="2" l="1"/>
  <c r="D61" i="2" l="1"/>
  <c r="E61" i="2"/>
  <c r="G61" i="2"/>
  <c r="F61" i="2"/>
  <c r="D64" i="2" l="1"/>
  <c r="H35" i="1" l="1"/>
  <c r="G35" i="1"/>
  <c r="F35" i="1"/>
  <c r="E35" i="1"/>
  <c r="E22" i="2" l="1"/>
  <c r="I35" i="1"/>
  <c r="H22" i="2" s="1"/>
  <c r="D15" i="5"/>
  <c r="E15" i="5"/>
  <c r="F15" i="5"/>
  <c r="G15" i="5"/>
  <c r="H15" i="5"/>
  <c r="D18" i="2"/>
  <c r="E18" i="2"/>
  <c r="F18" i="2"/>
  <c r="G18" i="2"/>
  <c r="H18" i="2"/>
  <c r="C18" i="2"/>
  <c r="C15" i="5"/>
  <c r="D16" i="5"/>
  <c r="E16" i="5"/>
  <c r="F16" i="5"/>
  <c r="G16" i="5"/>
  <c r="H16" i="5"/>
  <c r="C16" i="5"/>
  <c r="E11" i="2"/>
  <c r="F11" i="2"/>
  <c r="G11" i="2"/>
  <c r="G64" i="2" s="1"/>
  <c r="H11" i="2"/>
  <c r="E14" i="5"/>
  <c r="F14" i="5"/>
  <c r="G14" i="5"/>
  <c r="H14" i="5"/>
  <c r="D14" i="5"/>
  <c r="C14" i="5"/>
  <c r="C10" i="2"/>
  <c r="C14" i="2"/>
  <c r="C15" i="2"/>
  <c r="C16" i="2"/>
  <c r="Z18" i="8"/>
  <c r="F15" i="2"/>
  <c r="F16" i="2"/>
  <c r="F22" i="2"/>
  <c r="F10" i="2"/>
  <c r="F40" i="2" s="1"/>
  <c r="AA18" i="8"/>
  <c r="G15" i="2"/>
  <c r="G16" i="2"/>
  <c r="G10" i="2"/>
  <c r="AB18" i="8"/>
  <c r="H15" i="2"/>
  <c r="H16" i="2"/>
  <c r="H10" i="2"/>
  <c r="Y18" i="8"/>
  <c r="E15" i="2"/>
  <c r="E16" i="2"/>
  <c r="E10" i="2"/>
  <c r="E40" i="2" s="1"/>
  <c r="X18" i="8"/>
  <c r="D15" i="2"/>
  <c r="D16" i="2"/>
  <c r="D10" i="2"/>
  <c r="D40" i="2" s="1"/>
  <c r="C6" i="2"/>
  <c r="C5" i="5" s="1"/>
  <c r="H43" i="2"/>
  <c r="H34" i="5" s="1"/>
  <c r="H52" i="2"/>
  <c r="H53" i="2"/>
  <c r="H54" i="2"/>
  <c r="C43" i="2"/>
  <c r="C34" i="5" s="1"/>
  <c r="D43" i="2"/>
  <c r="D34" i="5" s="1"/>
  <c r="E43" i="2"/>
  <c r="E34" i="5" s="1"/>
  <c r="F43" i="2"/>
  <c r="F34" i="5" s="1"/>
  <c r="G43" i="2"/>
  <c r="G34" i="5" s="1"/>
  <c r="C52" i="2"/>
  <c r="C53" i="2"/>
  <c r="C54" i="2"/>
  <c r="D52" i="2"/>
  <c r="D53" i="2"/>
  <c r="D54" i="2"/>
  <c r="E52" i="2"/>
  <c r="E53" i="2"/>
  <c r="E54" i="2"/>
  <c r="F52" i="2"/>
  <c r="F53" i="2"/>
  <c r="F54" i="2"/>
  <c r="G52" i="2"/>
  <c r="G53" i="2"/>
  <c r="G54" i="2"/>
  <c r="A1" i="1"/>
  <c r="A1" i="4" s="1"/>
  <c r="B2" i="3"/>
  <c r="A2" i="2"/>
  <c r="C35" i="5"/>
  <c r="C44" i="2" s="1"/>
  <c r="D35" i="5"/>
  <c r="D44" i="2" s="1"/>
  <c r="E35" i="5"/>
  <c r="E44" i="2" s="1"/>
  <c r="F35" i="5"/>
  <c r="F44" i="2" s="1"/>
  <c r="G35" i="5"/>
  <c r="G44" i="2" s="1"/>
  <c r="H35" i="5"/>
  <c r="H44" i="2" s="1"/>
  <c r="H34" i="1"/>
  <c r="G8" i="2" s="1"/>
  <c r="I34" i="1"/>
  <c r="H8" i="2" s="1"/>
  <c r="G34" i="1"/>
  <c r="F8" i="2" s="1"/>
  <c r="F7" i="5" s="1"/>
  <c r="F34" i="1"/>
  <c r="E8" i="2" s="1"/>
  <c r="E34" i="1"/>
  <c r="D8" i="2" s="1"/>
  <c r="E14" i="4" s="1"/>
  <c r="A3" i="6"/>
  <c r="D44" i="5"/>
  <c r="D45" i="5"/>
  <c r="D46" i="5"/>
  <c r="D47" i="5"/>
  <c r="E44" i="5"/>
  <c r="E45" i="5"/>
  <c r="E46" i="5"/>
  <c r="E47" i="5"/>
  <c r="F44" i="5"/>
  <c r="F45" i="5"/>
  <c r="F46" i="5"/>
  <c r="F47" i="5"/>
  <c r="G44" i="5"/>
  <c r="G45" i="5"/>
  <c r="G46" i="5"/>
  <c r="G47" i="5"/>
  <c r="H44" i="5"/>
  <c r="H45" i="5"/>
  <c r="H46" i="5"/>
  <c r="H47" i="5"/>
  <c r="C44" i="5"/>
  <c r="C45" i="5"/>
  <c r="C46" i="5"/>
  <c r="C47" i="5"/>
  <c r="D36" i="5"/>
  <c r="E36" i="5"/>
  <c r="F36" i="5"/>
  <c r="G36" i="5"/>
  <c r="H36" i="5"/>
  <c r="C36" i="5"/>
  <c r="A2" i="5"/>
  <c r="X24" i="8"/>
  <c r="Y24" i="8"/>
  <c r="Z24" i="8"/>
  <c r="AA24" i="8"/>
  <c r="AB24" i="8"/>
  <c r="W7" i="8"/>
  <c r="AB23" i="8"/>
  <c r="AA23" i="8"/>
  <c r="Z23" i="8"/>
  <c r="Y23" i="8"/>
  <c r="X23" i="8"/>
  <c r="W23" i="8"/>
  <c r="AB19" i="8"/>
  <c r="AA19" i="8"/>
  <c r="Z19" i="8"/>
  <c r="Y19" i="8"/>
  <c r="X19" i="8"/>
  <c r="D34" i="1"/>
  <c r="C8" i="2" s="1"/>
  <c r="D14" i="4" s="1"/>
  <c r="A3" i="4"/>
  <c r="C36" i="2" l="1"/>
  <c r="C38" i="2" s="1"/>
  <c r="C40" i="2"/>
  <c r="H67" i="2"/>
  <c r="H40" i="2"/>
  <c r="G67" i="2"/>
  <c r="G40" i="2"/>
  <c r="C20" i="2"/>
  <c r="H37" i="2"/>
  <c r="H64" i="2"/>
  <c r="F37" i="2"/>
  <c r="F64" i="2"/>
  <c r="D36" i="2"/>
  <c r="D38" i="2" s="1"/>
  <c r="D67" i="2"/>
  <c r="E37" i="2"/>
  <c r="E64" i="2"/>
  <c r="E36" i="2"/>
  <c r="E67" i="2"/>
  <c r="F36" i="2"/>
  <c r="F67" i="2"/>
  <c r="H36" i="2"/>
  <c r="G45" i="2"/>
  <c r="G47" i="2" s="1"/>
  <c r="G37" i="2"/>
  <c r="G36" i="2"/>
  <c r="H10" i="5"/>
  <c r="H38" i="5" s="1"/>
  <c r="H45" i="2"/>
  <c r="H47" i="2" s="1"/>
  <c r="D20" i="2"/>
  <c r="H20" i="2"/>
  <c r="F20" i="2"/>
  <c r="E20" i="2"/>
  <c r="G20" i="2"/>
  <c r="C10" i="5"/>
  <c r="C29" i="5" s="1"/>
  <c r="C31" i="5" s="1"/>
  <c r="C45" i="2"/>
  <c r="F10" i="5"/>
  <c r="F45" i="2"/>
  <c r="F46" i="2" s="1"/>
  <c r="E10" i="5"/>
  <c r="E29" i="5" s="1"/>
  <c r="E31" i="5" s="1"/>
  <c r="E45" i="2"/>
  <c r="E47" i="2" s="1"/>
  <c r="D10" i="5"/>
  <c r="D23" i="5" s="1"/>
  <c r="D45" i="2"/>
  <c r="D46" i="2" s="1"/>
  <c r="C21" i="2"/>
  <c r="H21" i="2"/>
  <c r="C9" i="5"/>
  <c r="C20" i="5" s="1"/>
  <c r="G9" i="5"/>
  <c r="G20" i="5" s="1"/>
  <c r="E21" i="2"/>
  <c r="F21" i="2"/>
  <c r="D9" i="5"/>
  <c r="D20" i="5" s="1"/>
  <c r="H9" i="5"/>
  <c r="H20" i="5" s="1"/>
  <c r="E9" i="5"/>
  <c r="E20" i="5" s="1"/>
  <c r="G21" i="2"/>
  <c r="D21" i="2"/>
  <c r="F9" i="5"/>
  <c r="F20" i="5" s="1"/>
  <c r="E48" i="5"/>
  <c r="G48" i="5"/>
  <c r="C56" i="2"/>
  <c r="C57" i="2"/>
  <c r="H56" i="2"/>
  <c r="C48" i="5"/>
  <c r="W6" i="8"/>
  <c r="D35" i="1"/>
  <c r="C22" i="2" s="1"/>
  <c r="C55" i="2"/>
  <c r="C43" i="5" s="1"/>
  <c r="F19" i="2"/>
  <c r="F48" i="5"/>
  <c r="D48" i="5"/>
  <c r="H48" i="5"/>
  <c r="E19" i="2"/>
  <c r="G19" i="2"/>
  <c r="D19" i="2"/>
  <c r="G56" i="2"/>
  <c r="G10" i="5"/>
  <c r="G22" i="2"/>
  <c r="D22" i="2"/>
  <c r="E56" i="2"/>
  <c r="H57" i="2"/>
  <c r="C19" i="2"/>
  <c r="H19" i="2"/>
  <c r="F56" i="2"/>
  <c r="D57" i="2"/>
  <c r="G55" i="2"/>
  <c r="G43" i="5" s="1"/>
  <c r="E57" i="2"/>
  <c r="D55" i="2"/>
  <c r="D58" i="2" s="1"/>
  <c r="H55" i="2"/>
  <c r="H58" i="2" s="1"/>
  <c r="G6" i="2" s="1"/>
  <c r="F57" i="2"/>
  <c r="F55" i="2"/>
  <c r="G57" i="2"/>
  <c r="E55" i="2"/>
  <c r="D56" i="2"/>
  <c r="F56" i="5"/>
  <c r="C7" i="5"/>
  <c r="A1" i="5"/>
  <c r="A1" i="6"/>
  <c r="H14" i="4"/>
  <c r="G7" i="5"/>
  <c r="G56" i="5"/>
  <c r="E56" i="5"/>
  <c r="H56" i="5"/>
  <c r="D56" i="5"/>
  <c r="B1" i="3"/>
  <c r="E7" i="5"/>
  <c r="F14" i="4"/>
  <c r="H7" i="5"/>
  <c r="I14" i="4"/>
  <c r="A1" i="2"/>
  <c r="D7" i="5"/>
  <c r="G14" i="4"/>
  <c r="F38" i="2" l="1"/>
  <c r="B32" i="1"/>
  <c r="G23" i="2" s="1"/>
  <c r="G24" i="2" s="1"/>
  <c r="E37" i="5"/>
  <c r="H46" i="2"/>
  <c r="H48" i="2" s="1"/>
  <c r="H49" i="2" s="1"/>
  <c r="G46" i="2"/>
  <c r="G48" i="2" s="1"/>
  <c r="G49" i="2" s="1"/>
  <c r="C46" i="2"/>
  <c r="E46" i="2"/>
  <c r="E48" i="2" s="1"/>
  <c r="E49" i="2" s="1"/>
  <c r="E38" i="2"/>
  <c r="H38" i="2"/>
  <c r="E59" i="5"/>
  <c r="E38" i="5"/>
  <c r="C23" i="5"/>
  <c r="E39" i="5"/>
  <c r="E40" i="5" s="1"/>
  <c r="H39" i="5"/>
  <c r="F5" i="5" s="1"/>
  <c r="H37" i="5"/>
  <c r="Z21" i="8"/>
  <c r="G39" i="5"/>
  <c r="G40" i="5" s="1"/>
  <c r="G30" i="5"/>
  <c r="G29" i="5"/>
  <c r="E23" i="5"/>
  <c r="F30" i="5"/>
  <c r="F29" i="5"/>
  <c r="F23" i="5"/>
  <c r="H29" i="5"/>
  <c r="H30" i="5"/>
  <c r="G38" i="2"/>
  <c r="D39" i="5"/>
  <c r="D40" i="5" s="1"/>
  <c r="D29" i="5"/>
  <c r="D31" i="5" s="1"/>
  <c r="H23" i="5"/>
  <c r="G23" i="5"/>
  <c r="H13" i="5"/>
  <c r="H17" i="5" s="1"/>
  <c r="X22" i="8"/>
  <c r="F59" i="5"/>
  <c r="AA20" i="8"/>
  <c r="F37" i="5"/>
  <c r="F38" i="5"/>
  <c r="F39" i="5"/>
  <c r="F40" i="5" s="1"/>
  <c r="Y22" i="8"/>
  <c r="F28" i="2"/>
  <c r="F63" i="2" s="1"/>
  <c r="H28" i="2"/>
  <c r="H65" i="2" s="1"/>
  <c r="G28" i="2"/>
  <c r="D28" i="2"/>
  <c r="E28" i="2"/>
  <c r="C28" i="2"/>
  <c r="D38" i="5"/>
  <c r="D37" i="5"/>
  <c r="H25" i="2"/>
  <c r="D25" i="2"/>
  <c r="F25" i="2"/>
  <c r="G25" i="2"/>
  <c r="E25" i="2"/>
  <c r="C39" i="5"/>
  <c r="C40" i="5" s="1"/>
  <c r="C25" i="2"/>
  <c r="F47" i="2"/>
  <c r="F48" i="2" s="1"/>
  <c r="F49" i="2" s="1"/>
  <c r="C38" i="5"/>
  <c r="C37" i="5"/>
  <c r="D47" i="2"/>
  <c r="D48" i="2" s="1"/>
  <c r="D49" i="2" s="1"/>
  <c r="W21" i="8"/>
  <c r="W20" i="8"/>
  <c r="D43" i="5"/>
  <c r="D50" i="5" s="1"/>
  <c r="C50" i="5"/>
  <c r="C51" i="5"/>
  <c r="C58" i="2"/>
  <c r="C49" i="5"/>
  <c r="C52" i="5" s="1"/>
  <c r="H43" i="5"/>
  <c r="H51" i="5" s="1"/>
  <c r="E13" i="5"/>
  <c r="E17" i="5" s="1"/>
  <c r="Y21" i="8"/>
  <c r="Y20" i="8"/>
  <c r="G37" i="5"/>
  <c r="X20" i="8"/>
  <c r="G38" i="5"/>
  <c r="AA22" i="8"/>
  <c r="F13" i="5"/>
  <c r="F17" i="5" s="1"/>
  <c r="AA21" i="8"/>
  <c r="G13" i="5"/>
  <c r="G17" i="5" s="1"/>
  <c r="G58" i="2"/>
  <c r="Z22" i="8"/>
  <c r="C47" i="2"/>
  <c r="X21" i="8"/>
  <c r="D13" i="5"/>
  <c r="D17" i="5" s="1"/>
  <c r="Z20" i="8"/>
  <c r="AB22" i="8"/>
  <c r="W22" i="8"/>
  <c r="C13" i="5"/>
  <c r="C17" i="5" s="1"/>
  <c r="AB21" i="8"/>
  <c r="AB20" i="8"/>
  <c r="G49" i="5"/>
  <c r="G52" i="5" s="1"/>
  <c r="G50" i="5"/>
  <c r="G51" i="5"/>
  <c r="E58" i="2"/>
  <c r="E43" i="5"/>
  <c r="F43" i="5"/>
  <c r="F58" i="2"/>
  <c r="H59" i="5"/>
  <c r="G59" i="5"/>
  <c r="D59" i="5"/>
  <c r="G65" i="2" l="1"/>
  <c r="F65" i="2"/>
  <c r="E68" i="2"/>
  <c r="D65" i="2"/>
  <c r="C48" i="2"/>
  <c r="C49" i="2" s="1"/>
  <c r="B35" i="1"/>
  <c r="A22" i="2" s="1"/>
  <c r="E23" i="2"/>
  <c r="E24" i="2" s="1"/>
  <c r="F23" i="2"/>
  <c r="F27" i="2" s="1"/>
  <c r="H23" i="2"/>
  <c r="H24" i="2" s="1"/>
  <c r="C23" i="2"/>
  <c r="C27" i="2" s="1"/>
  <c r="D23" i="2"/>
  <c r="D29" i="2" s="1"/>
  <c r="C68" i="2"/>
  <c r="C65" i="2"/>
  <c r="H63" i="2"/>
  <c r="H68" i="2"/>
  <c r="G68" i="2"/>
  <c r="F68" i="2"/>
  <c r="H40" i="5"/>
  <c r="F31" i="5"/>
  <c r="G31" i="5"/>
  <c r="H31" i="5"/>
  <c r="G27" i="2"/>
  <c r="G29" i="2"/>
  <c r="G26" i="2"/>
  <c r="D51" i="5"/>
  <c r="D49" i="5"/>
  <c r="C53" i="5"/>
  <c r="H49" i="5"/>
  <c r="H52" i="5" s="1"/>
  <c r="H50" i="5"/>
  <c r="G5" i="5" s="1"/>
  <c r="F6" i="2"/>
  <c r="G18" i="5"/>
  <c r="F49" i="5"/>
  <c r="F53" i="5" s="1"/>
  <c r="F50" i="5"/>
  <c r="F51" i="5"/>
  <c r="E49" i="5"/>
  <c r="E52" i="5" s="1"/>
  <c r="E51" i="5"/>
  <c r="E50" i="5"/>
  <c r="G53" i="5"/>
  <c r="G63" i="2" l="1"/>
  <c r="G69" i="2" s="1"/>
  <c r="E65" i="2"/>
  <c r="E63" i="2"/>
  <c r="E69" i="2" s="1"/>
  <c r="D68" i="2"/>
  <c r="D63" i="2"/>
  <c r="D69" i="2" s="1"/>
  <c r="E18" i="5"/>
  <c r="E22" i="5" s="1"/>
  <c r="F18" i="5"/>
  <c r="F22" i="5" s="1"/>
  <c r="D18" i="5"/>
  <c r="D21" i="5" s="1"/>
  <c r="F26" i="2"/>
  <c r="E27" i="2"/>
  <c r="E26" i="2"/>
  <c r="F29" i="2"/>
  <c r="F24" i="2"/>
  <c r="H26" i="2"/>
  <c r="E29" i="2"/>
  <c r="H27" i="2"/>
  <c r="C29" i="2"/>
  <c r="H18" i="5"/>
  <c r="H22" i="5" s="1"/>
  <c r="D27" i="2"/>
  <c r="D24" i="2"/>
  <c r="D26" i="2"/>
  <c r="H29" i="2"/>
  <c r="D6" i="2" s="1"/>
  <c r="F69" i="2"/>
  <c r="F66" i="2"/>
  <c r="H69" i="2"/>
  <c r="H66" i="2"/>
  <c r="G22" i="5"/>
  <c r="G24" i="5"/>
  <c r="G19" i="5"/>
  <c r="G21" i="5"/>
  <c r="H53" i="5"/>
  <c r="F52" i="5"/>
  <c r="E53" i="5"/>
  <c r="G66" i="2" l="1"/>
  <c r="E66" i="2"/>
  <c r="D66" i="2"/>
  <c r="E19" i="5"/>
  <c r="E24" i="5"/>
  <c r="E21" i="5"/>
  <c r="D19" i="5"/>
  <c r="F24" i="5"/>
  <c r="D24" i="5"/>
  <c r="D22" i="5"/>
  <c r="F19" i="5"/>
  <c r="F21" i="5"/>
  <c r="H21" i="5"/>
  <c r="H19" i="5"/>
  <c r="H24" i="5"/>
  <c r="D5" i="5" s="1"/>
  <c r="D53" i="5"/>
  <c r="D52" i="5"/>
  <c r="C61" i="2" l="1"/>
  <c r="C64" i="2" l="1"/>
  <c r="C67" i="2"/>
  <c r="C56" i="5"/>
  <c r="C59" i="5" l="1"/>
  <c r="C18" i="5"/>
  <c r="C24" i="2"/>
  <c r="C26" i="2"/>
  <c r="C22" i="5" l="1"/>
  <c r="C24" i="5"/>
  <c r="C19" i="5"/>
  <c r="C21" i="5"/>
  <c r="C57" i="5" l="1"/>
  <c r="C63" i="2"/>
  <c r="C69" i="2" l="1"/>
  <c r="C66" i="2"/>
  <c r="C58" i="5"/>
  <c r="C61" i="5" s="1"/>
  <c r="C60" i="5"/>
  <c r="E5" i="5"/>
  <c r="E6" i="2"/>
  <c r="F57" i="5" l="1"/>
  <c r="G57" i="5"/>
  <c r="G58" i="5" l="1"/>
  <c r="G61" i="5" s="1"/>
  <c r="G60" i="5"/>
  <c r="H57" i="5"/>
  <c r="F60" i="5"/>
  <c r="F58" i="5"/>
  <c r="F61" i="5" s="1"/>
  <c r="H6" i="2" l="1"/>
  <c r="H58" i="5"/>
  <c r="H61" i="5" s="1"/>
  <c r="H5" i="5" s="1"/>
  <c r="H60" i="5"/>
  <c r="D57" i="5" l="1"/>
  <c r="D60" i="5" s="1"/>
  <c r="E57" i="5"/>
  <c r="D58" i="5" l="1"/>
  <c r="D61" i="5" s="1"/>
  <c r="E58" i="5"/>
  <c r="E61" i="5" s="1"/>
  <c r="E60" i="5"/>
</calcChain>
</file>

<file path=xl/sharedStrings.xml><?xml version="1.0" encoding="utf-8"?>
<sst xmlns="http://schemas.openxmlformats.org/spreadsheetml/2006/main" count="480" uniqueCount="342">
  <si>
    <t xml:space="preserve">   VE-bidraget fra varmepumpe</t>
  </si>
  <si>
    <t>Bidrag fra varmepumpe</t>
  </si>
  <si>
    <t xml:space="preserve">   http://www.teknologisk.dk/energi/492. Disse inbetatter ikke sommergraddagetal. Vælg "Standard" under Graddage på </t>
  </si>
  <si>
    <t xml:space="preserve">   indtastningsarket. (Beregnet på grundlag af døgnmiddeltemperaturer på Landbohøjskolen i København).</t>
  </si>
  <si>
    <r>
      <t>Selvvalg</t>
    </r>
    <r>
      <rPr>
        <vertAlign val="superscript"/>
        <sz val="10"/>
        <rFont val="Arial"/>
        <family val="2"/>
      </rPr>
      <t>2</t>
    </r>
  </si>
  <si>
    <r>
      <t>2</t>
    </r>
    <r>
      <rPr>
        <sz val="10"/>
        <rFont val="Arial"/>
        <family val="2"/>
      </rPr>
      <t xml:space="preserve">  Her indsættes egne års-graddagetal eller lokale års-graddagetal fra DMI. Vælg "Selvvalg" under Graddage på indtastningsarket.</t>
    </r>
  </si>
  <si>
    <t>TI</t>
  </si>
  <si>
    <r>
      <t>1. Vælg årstal og indtast oplysninger for et eller flere regnskabsår. Graddagetal og fjernvarne-CO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følger automatisk årstal.  </t>
    </r>
  </si>
  <si>
    <t>9.   Indtast måleroplysninger for regnvand anvendt til toiletskyl, tøjvask, havevanding o.l. Medtag også mængden af recir-</t>
  </si>
  <si>
    <t>Graddage</t>
  </si>
  <si>
    <t>30% af koldt vand</t>
  </si>
  <si>
    <t xml:space="preserve">GUF </t>
  </si>
  <si>
    <t>Automatisk</t>
  </si>
  <si>
    <t>Restaffald ved dagrenovation</t>
  </si>
  <si>
    <t xml:space="preserve">   restaffald og storskrald</t>
  </si>
  <si>
    <t xml:space="preserve">Restaffald  i alt pr. person pr. år </t>
  </si>
  <si>
    <t>Restaffald ved storskrald</t>
  </si>
  <si>
    <t>Restaffald i alt</t>
  </si>
  <si>
    <t xml:space="preserve">   ved dagrenovation</t>
  </si>
  <si>
    <t xml:space="preserve">   ved storskrald</t>
  </si>
  <si>
    <t xml:space="preserve">      kuleret gråt spildevand</t>
  </si>
  <si>
    <t>Regnskabsår</t>
  </si>
  <si>
    <t>2. Antal beboere</t>
  </si>
  <si>
    <t>3. Varmeforbrug</t>
  </si>
  <si>
    <t>Fjernvarme (MWh)</t>
  </si>
  <si>
    <t>4. Elforbrug</t>
  </si>
  <si>
    <t>5. Vandforbrug</t>
  </si>
  <si>
    <t>6. Affaldsproduktion</t>
  </si>
  <si>
    <t>BASIS-regneark</t>
  </si>
  <si>
    <t>Opvarmet areal</t>
  </si>
  <si>
    <t>Antal beboere</t>
  </si>
  <si>
    <t>MWh</t>
  </si>
  <si>
    <t>Olie</t>
  </si>
  <si>
    <t>liter</t>
  </si>
  <si>
    <t>Naturgas</t>
  </si>
  <si>
    <t>Varmeforbrug i alt</t>
  </si>
  <si>
    <t>Varme graddagekorrigeret</t>
  </si>
  <si>
    <t xml:space="preserve">   rumvarme </t>
  </si>
  <si>
    <t xml:space="preserve">   varmt vand</t>
  </si>
  <si>
    <t>Varme i alt pr. person pr. år</t>
  </si>
  <si>
    <t>kWh</t>
  </si>
  <si>
    <t>El-forbrug i alt pr. person pr. år</t>
  </si>
  <si>
    <t xml:space="preserve">   koldt vand</t>
  </si>
  <si>
    <t>Vand i alt pr. person pr. år</t>
  </si>
  <si>
    <t>Vand i alt pr. person pr. døgn</t>
  </si>
  <si>
    <t>ton</t>
  </si>
  <si>
    <t xml:space="preserve">   flasker og glas</t>
  </si>
  <si>
    <t xml:space="preserve">   papir og pap</t>
  </si>
  <si>
    <t>Genbrug i alt</t>
  </si>
  <si>
    <t>kg</t>
  </si>
  <si>
    <t>Fjernvarme</t>
  </si>
  <si>
    <t>Gas</t>
  </si>
  <si>
    <t>Solfanger</t>
  </si>
  <si>
    <t>Brændeovn</t>
  </si>
  <si>
    <t>varme i alt</t>
  </si>
  <si>
    <t>Indtastningsark-X</t>
  </si>
  <si>
    <t xml:space="preserve">   Solvarme (MWh)</t>
  </si>
  <si>
    <t>BASIS-X-regneark</t>
  </si>
  <si>
    <t>Antal beboere:</t>
  </si>
  <si>
    <t>Fossile brændsler i alt</t>
  </si>
  <si>
    <t xml:space="preserve">   solvarme</t>
  </si>
  <si>
    <t xml:space="preserve">   fossile brændsler</t>
  </si>
  <si>
    <t xml:space="preserve">   vedvarende energi</t>
  </si>
  <si>
    <t xml:space="preserve">   fossile brændsler </t>
  </si>
  <si>
    <t xml:space="preserve">   standard-el fra nettet</t>
  </si>
  <si>
    <t>Vandværksvand</t>
  </si>
  <si>
    <t xml:space="preserve">   regnvand</t>
  </si>
  <si>
    <t xml:space="preserve">   vandværksvand</t>
  </si>
  <si>
    <t>VARME</t>
  </si>
  <si>
    <t>EL</t>
  </si>
  <si>
    <t>VAND</t>
  </si>
  <si>
    <t>AFFALD</t>
  </si>
  <si>
    <t>8 Alternativ elforsyning</t>
  </si>
  <si>
    <t>7. Alternative varmekilder</t>
  </si>
  <si>
    <t>9. Alternativ vandforsyning</t>
  </si>
  <si>
    <t>10. Affald til genbrug</t>
  </si>
  <si>
    <t xml:space="preserve">    Flasker og glas (ton)</t>
  </si>
  <si>
    <t>Genbrugsprocent</t>
  </si>
  <si>
    <t>%</t>
  </si>
  <si>
    <t xml:space="preserve">   heraf til varmt vand (GUF)</t>
  </si>
  <si>
    <t xml:space="preserve">Elforbrug i alt </t>
  </si>
  <si>
    <t xml:space="preserve">   privat elforbrug</t>
  </si>
  <si>
    <t xml:space="preserve">   fælles elforbrug</t>
  </si>
  <si>
    <t xml:space="preserve">   heraf forbrugt til varmt vand</t>
  </si>
  <si>
    <t>Navn på boligen/bebyggelsen</t>
  </si>
  <si>
    <t>MWh  varme</t>
  </si>
  <si>
    <t>kWh  el</t>
  </si>
  <si>
    <t xml:space="preserve">    Bioaffald / grøn fraktion (ton)</t>
  </si>
  <si>
    <t xml:space="preserve">   bioaffald / grøn fraktion</t>
  </si>
  <si>
    <t xml:space="preserve">   gråt spildevand</t>
  </si>
  <si>
    <t xml:space="preserve">   alternativ vandforsynng</t>
  </si>
  <si>
    <t xml:space="preserve">    Papir og pap (ton)</t>
  </si>
  <si>
    <t xml:space="preserve">    Andet genbrug (ton)</t>
  </si>
  <si>
    <t>Andet, ekskl. genbrug</t>
  </si>
  <si>
    <t>Elforbrug i alt pr. person pr. år</t>
  </si>
  <si>
    <r>
      <t xml:space="preserve">   kg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pr. leveret MWh</t>
    </r>
  </si>
  <si>
    <r>
      <t>Naturgas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</si>
  <si>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Tilført drikkevand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</si>
  <si>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Aflæst varmtvandsforbrug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</si>
  <si>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m</t>
    </r>
    <r>
      <rPr>
        <vertAlign val="superscript"/>
        <sz val="14"/>
        <rFont val="Arial"/>
        <family val="2"/>
      </rPr>
      <t>3</t>
    </r>
  </si>
  <si>
    <r>
      <t>m</t>
    </r>
    <r>
      <rPr>
        <b/>
        <vertAlign val="superscript"/>
        <sz val="14"/>
        <rFont val="Arial"/>
        <family val="2"/>
      </rPr>
      <t>3</t>
    </r>
  </si>
  <si>
    <r>
      <t>CO</t>
    </r>
    <r>
      <rPr>
        <vertAlign val="subscript"/>
        <sz val="14"/>
        <rFont val="Arial"/>
        <family val="2"/>
      </rPr>
      <t xml:space="preserve">2 </t>
    </r>
    <r>
      <rPr>
        <sz val="14"/>
        <rFont val="Arial"/>
        <family val="2"/>
      </rPr>
      <t>-udslip i alt</t>
    </r>
  </si>
  <si>
    <r>
      <t>CO</t>
    </r>
    <r>
      <rPr>
        <b/>
        <vertAlign val="sub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-udslip i alt pr. person pr. år</t>
    </r>
  </si>
  <si>
    <r>
      <t>m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 vand</t>
    </r>
  </si>
  <si>
    <r>
      <t xml:space="preserve"> ton  CO</t>
    </r>
    <r>
      <rPr>
        <vertAlign val="subscript"/>
        <sz val="14"/>
        <rFont val="Arial"/>
        <family val="2"/>
      </rPr>
      <t>2</t>
    </r>
  </si>
  <si>
    <r>
      <t>m</t>
    </r>
    <r>
      <rPr>
        <vertAlign val="superscript"/>
        <sz val="14"/>
        <rFont val="Arial"/>
        <family val="2"/>
      </rPr>
      <t>2</t>
    </r>
  </si>
  <si>
    <r>
      <t>CO</t>
    </r>
    <r>
      <rPr>
        <b/>
        <vertAlign val="subscript"/>
        <sz val="14"/>
        <rFont val="Arial"/>
        <family val="2"/>
      </rPr>
      <t>2</t>
    </r>
  </si>
  <si>
    <r>
      <t xml:space="preserve">   Regnvand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</si>
  <si>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 xml:space="preserve">   Recirk. af gråt spildevand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</si>
  <si>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 xml:space="preserve">   ved varme-produktion</t>
  </si>
  <si>
    <t xml:space="preserve">   ved el-produktion</t>
  </si>
  <si>
    <t>Varme-produktion</t>
  </si>
  <si>
    <t>El-produktion</t>
  </si>
  <si>
    <r>
      <t>Opvarmet areal, m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>:</t>
    </r>
  </si>
  <si>
    <r>
      <t>1. Opvarmet areal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</si>
  <si>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Brænde, løvtræ (rummeter)</t>
  </si>
  <si>
    <t xml:space="preserve">   Brænde, nåletræ (rummeter)</t>
  </si>
  <si>
    <t xml:space="preserve">   biobrændsel </t>
  </si>
  <si>
    <t xml:space="preserve">Fjernvarme </t>
  </si>
  <si>
    <r>
      <t xml:space="preserve">   Biogas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</si>
  <si>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 xml:space="preserve">   Halm (ton)</t>
  </si>
  <si>
    <t>Fyringsolie (liter)</t>
  </si>
  <si>
    <t>Fyringsolie</t>
  </si>
  <si>
    <t>Affald i alt pr. person  pr. år</t>
  </si>
  <si>
    <r>
      <t>m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vand</t>
    </r>
  </si>
  <si>
    <t>Udfyld med supplerende forbrugs- og affaldsdata.</t>
  </si>
  <si>
    <t xml:space="preserve">10. Indtast til sidst data for alle genbrugsfraktioner - haveaffald undtaget. </t>
  </si>
  <si>
    <t xml:space="preserve">   genbrug</t>
  </si>
  <si>
    <t>kg  affald</t>
  </si>
  <si>
    <t>Affald, inkl. genbrug, i alt</t>
  </si>
  <si>
    <t>Dagrenovation og storskrald mv.</t>
  </si>
  <si>
    <t>Andet, ekskl. genbrug (ton)</t>
  </si>
  <si>
    <t>Maj</t>
  </si>
  <si>
    <t>BASIS-diagrammer</t>
  </si>
  <si>
    <t>BASIS-X-diagrammer</t>
  </si>
  <si>
    <t>Ved varme-produktion</t>
  </si>
  <si>
    <t>Ved el-produktion</t>
  </si>
  <si>
    <t>Budget</t>
  </si>
  <si>
    <t>Restaffald ved dagrenovation (ton)</t>
  </si>
  <si>
    <t xml:space="preserve">   Træpiller (ton)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</si>
  <si>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</si>
  <si>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</si>
  <si>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</si>
  <si>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</si>
  <si>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</si>
  <si>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</si>
  <si>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</si>
  <si>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</si>
  <si>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</si>
  <si>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</si>
  <si>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</si>
  <si>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Graddagetal</t>
  </si>
  <si>
    <t>Normal sæson</t>
  </si>
  <si>
    <r>
      <t>Standard</t>
    </r>
    <r>
      <rPr>
        <vertAlign val="superscript"/>
        <sz val="10"/>
        <rFont val="Arial"/>
        <family val="2"/>
      </rPr>
      <t>1</t>
    </r>
  </si>
  <si>
    <t>25% af energiforbrug</t>
  </si>
  <si>
    <t xml:space="preserve">   Alternativ elforsyning</t>
  </si>
  <si>
    <t xml:space="preserve">Indeks: </t>
  </si>
  <si>
    <t>1 MWh pr. person</t>
  </si>
  <si>
    <t xml:space="preserve">El leveret af elselskab </t>
  </si>
  <si>
    <t xml:space="preserve">   Skovflis (ton)</t>
  </si>
  <si>
    <t>Indtastningsark</t>
  </si>
  <si>
    <t>Varmt vand (GUF) (MWh)</t>
  </si>
  <si>
    <r>
      <t xml:space="preserve">Regnvand </t>
    </r>
    <r>
      <rPr>
        <sz val="11"/>
        <rFont val="Arial"/>
        <family val="2"/>
      </rPr>
      <t>(BASIS-X-regneark)</t>
    </r>
  </si>
  <si>
    <r>
      <t xml:space="preserve">Varme graddagekorrigeret </t>
    </r>
    <r>
      <rPr>
        <sz val="8"/>
        <rFont val="Arial"/>
        <family val="2"/>
      </rPr>
      <t>(BASIS regneark)</t>
    </r>
  </si>
  <si>
    <r>
      <t xml:space="preserve">Vedvarende energi </t>
    </r>
    <r>
      <rPr>
        <sz val="8"/>
        <rFont val="Arial"/>
        <family val="2"/>
      </rPr>
      <t>(BASIS-X-regneark)</t>
    </r>
  </si>
  <si>
    <t xml:space="preserve"> </t>
  </si>
  <si>
    <r>
      <t>Ved opvarmning med fjernvarme udpeges fjernvarmeleverandør for bestemmelse af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-emissionstal. Bemærk at  </t>
    </r>
  </si>
  <si>
    <t xml:space="preserve">samme fjernvarmeleverandør godt kan være leverandør til flere net. Tjek derfor om nettet er det rigtige. </t>
  </si>
  <si>
    <t>Fælles elmålere (kWh)</t>
  </si>
  <si>
    <t>Private elmålere (kWh)</t>
  </si>
  <si>
    <r>
      <t>1</t>
    </r>
    <r>
      <rPr>
        <sz val="10"/>
        <rFont val="Arial"/>
        <family val="2"/>
      </rPr>
      <t xml:space="preserve">  Standard-graddagetal fra teknologisk Institut offentliggøres på tekst-TV og på Teknologisk Instituts hjemmeside: </t>
    </r>
  </si>
  <si>
    <t xml:space="preserve">    Anvend evt. en søjle til "budget" (normalårets graddagetal). Ved brug af regnskabet til sammenligning af forskellige  </t>
  </si>
  <si>
    <t xml:space="preserve">    boligområder, samme år, anføres navn, afdeling, opgang e.l. i Indeks-feltet øverst. Dermed erstatter tekst automatisk årstal.</t>
  </si>
  <si>
    <t xml:space="preserve">   Træbriketter (pakker á 10 kg)</t>
  </si>
  <si>
    <t>Elvarme</t>
  </si>
  <si>
    <t>Elvarme (kWh)</t>
  </si>
  <si>
    <t>El til varmepumpe (kWh)</t>
  </si>
  <si>
    <t>30% (opf. før 1979)</t>
  </si>
  <si>
    <t>40% (opf. efter 1979)</t>
  </si>
  <si>
    <t>Ukendt</t>
  </si>
  <si>
    <t>2018-19</t>
  </si>
  <si>
    <t>3. Indtast forbrug af fjernvarme, fyringsolie, naturgas og el til varmepumpe og elvarme, evt. kombinationer heraf. Bemærk enhed.</t>
  </si>
  <si>
    <t>SCOP effektivitet varmepumpe</t>
  </si>
  <si>
    <t>2019-20</t>
  </si>
  <si>
    <t>2020-21</t>
  </si>
  <si>
    <t>g/kWh</t>
  </si>
  <si>
    <t xml:space="preserve">   plast-emballage </t>
  </si>
  <si>
    <r>
      <t>El-CO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-nøgletal (g/kWh)</t>
    </r>
  </si>
  <si>
    <t>2021-22</t>
  </si>
  <si>
    <t>normalår</t>
  </si>
  <si>
    <t>2022-23</t>
  </si>
  <si>
    <t>Gennem-snit</t>
  </si>
  <si>
    <r>
      <t>Fjernvarme-CO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>(kg pr. MWh)</t>
    </r>
  </si>
  <si>
    <t>2023-24</t>
  </si>
  <si>
    <t>GUF-beregning (MWh)</t>
  </si>
  <si>
    <t>2024-25</t>
  </si>
  <si>
    <t>Ikke genbrugeligt affald  (ton)</t>
  </si>
  <si>
    <r>
      <t>Varme i alt pr. m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bolig pr. år</t>
    </r>
  </si>
  <si>
    <t xml:space="preserve">   Vind fra egne vindmølle (MWh)</t>
  </si>
  <si>
    <t xml:space="preserve">8.   Indtast produktion fra egen vindmølleproduktion og el produceret ved hjælp af solceller. Ved time- og straksafregning </t>
  </si>
  <si>
    <t>Fællesmålere</t>
  </si>
  <si>
    <t>Elmålere i private husstande</t>
  </si>
  <si>
    <t>Nettoforbrug ved VE-anlæg</t>
  </si>
  <si>
    <t>El-forbrug som følge af VE-anlæg</t>
  </si>
  <si>
    <t xml:space="preserve">   El ved solcelleanlæg (MWh)</t>
  </si>
  <si>
    <t>Selvvalg</t>
  </si>
  <si>
    <t>Vælg graddagesystem: TI (Teknologisk Institut) eller Selvvalg. Ved "Selvvalg" indsættes egne graddagetal under fanebladet  Graddage.</t>
  </si>
  <si>
    <t>Vælg GUF-beregningsmetode (GUF = graddageuafhængigt forbrug). Automatisk beregner GUF ud fra energimåler</t>
  </si>
  <si>
    <t xml:space="preserve">på varmt vand, subsidiært varmtvandsforbruget og ellers 1 MWh pr. person. Brug Selvvalg hvis GUF skal være bestemt fra </t>
  </si>
  <si>
    <t>sommerforbruget. Indtast da værdien i linje 50: Varmt vand (GUF).</t>
  </si>
  <si>
    <t>Års-virkningsgrader varmepumper (SCOP)</t>
  </si>
  <si>
    <t>Ved brug af varmepumpe indtastes årsvirkningsgrad: Seasonal Coefficient of Performance (SCOP), som er KWh varme/kWh el.</t>
  </si>
  <si>
    <t xml:space="preserve">2. Præcis angivelse af antal beboere er vigtig. </t>
  </si>
  <si>
    <t xml:space="preserve">    Indtast evt. energi til varmt vand/GUF (ved energimåler på varmtvandsanlægget eller skøn ud fra sommerforbrug). </t>
  </si>
  <si>
    <t>6. Indtast til sidst data for affaldsmængder - genbrugsfraktioner undtaget. Sidstnævnte opgøres i Indtasningsark-X.</t>
  </si>
  <si>
    <t xml:space="preserve">7.   Indtast måleroplysninger for varmebidrag fra solfanger . For små solvaarmeanlæg må  solvarmebidrag skønnes. </t>
  </si>
  <si>
    <t xml:space="preserve">     Indtast ydermere forbrug af biogas, brænde mv. anvendt til opvarmningsformål. </t>
  </si>
  <si>
    <t>2025-26</t>
  </si>
  <si>
    <r>
      <t>CO</t>
    </r>
    <r>
      <rPr>
        <b/>
        <vertAlign val="sub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-udslip i alt pr. m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pr. år</t>
    </r>
  </si>
  <si>
    <t>Teknologisk Inst</t>
  </si>
  <si>
    <t xml:space="preserve">                Aktuelt regnskabsår</t>
  </si>
  <si>
    <t>Fjernvarme-kommune</t>
  </si>
  <si>
    <r>
      <t>Fjernvarme-CO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</si>
  <si>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Elforbrug pr. m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bolig</t>
    </r>
  </si>
  <si>
    <t xml:space="preserve">  samlet elforbrug</t>
  </si>
  <si>
    <t xml:space="preserve">   El solgt til Nettet (MWh)</t>
  </si>
  <si>
    <t xml:space="preserve">   det som et Nettoforbrug, dvs. vindmølle- eller solcelleproduktion fratrukket salg af el til Nettet. </t>
  </si>
  <si>
    <t xml:space="preserve">5. Indtast elforbrug. Ved boligejendomme også fælles elforbrrug.VE-produktion hentes elforbrug fra indtastningsark-X. Her oppgøres </t>
  </si>
  <si>
    <r>
      <t xml:space="preserve">Netto-el fra solceller  </t>
    </r>
    <r>
      <rPr>
        <sz val="6"/>
        <rFont val="Arial"/>
        <family val="2"/>
      </rPr>
      <t>fra Indtastningsark-X</t>
    </r>
  </si>
  <si>
    <t xml:space="preserve">     (lovkrav) indtastes derudover mænden af el solgt til nettet (måleraflæsning 218). </t>
  </si>
  <si>
    <r>
      <rPr>
        <sz val="10"/>
        <rFont val="Arial"/>
        <family val="2"/>
      </rPr>
      <t>Prognose</t>
    </r>
    <r>
      <rPr>
        <b/>
        <sz val="10"/>
        <rFont val="Arial"/>
        <family val="2"/>
      </rPr>
      <t xml:space="preserve"> 2024-25</t>
    </r>
  </si>
  <si>
    <r>
      <rPr>
        <sz val="10"/>
        <rFont val="Arial"/>
        <family val="2"/>
      </rPr>
      <t>Prognose</t>
    </r>
    <r>
      <rPr>
        <b/>
        <sz val="10"/>
        <rFont val="Arial"/>
        <family val="2"/>
      </rPr>
      <t xml:space="preserve"> 2025</t>
    </r>
  </si>
  <si>
    <r>
      <t>Gram CO</t>
    </r>
    <r>
      <rPr>
        <b/>
        <vertAlign val="subscript"/>
        <sz val="16"/>
        <rFont val="Calibri"/>
        <family val="2"/>
        <scheme val="minor"/>
      </rPr>
      <t xml:space="preserve">2 </t>
    </r>
    <r>
      <rPr>
        <b/>
        <sz val="16"/>
        <rFont val="Calibri"/>
        <family val="2"/>
        <scheme val="minor"/>
      </rPr>
      <t>pr. leveret kWh el</t>
    </r>
  </si>
  <si>
    <t>miljoredegorelsen-2024.pdf</t>
  </si>
  <si>
    <r>
      <t>CO</t>
    </r>
    <r>
      <rPr>
        <b/>
        <vertAlign val="subscript"/>
        <sz val="18"/>
        <rFont val="Helv"/>
      </rPr>
      <t>2</t>
    </r>
    <r>
      <rPr>
        <b/>
        <sz val="18"/>
        <rFont val="Helv"/>
      </rPr>
      <t>-emissionstal fra fjernvarmevørker fordelt på kommuner</t>
    </r>
  </si>
  <si>
    <r>
      <t>kg CO</t>
    </r>
    <r>
      <rPr>
        <b/>
        <vertAlign val="subscript"/>
        <sz val="10"/>
        <color indexed="10"/>
        <rFont val="Helv"/>
      </rPr>
      <t>2</t>
    </r>
    <r>
      <rPr>
        <b/>
        <sz val="10"/>
        <color indexed="10"/>
        <rFont val="Helv"/>
      </rPr>
      <t xml:space="preserve"> pr. MWh varme</t>
    </r>
  </si>
  <si>
    <t>Kilde: Energistyrelsens energiproducenttælling 2021</t>
  </si>
  <si>
    <t>Metodenotat for ECO2R 2.0 - Generel - MASTER</t>
  </si>
  <si>
    <t>FV net id</t>
  </si>
  <si>
    <t>FV-net-navn</t>
  </si>
  <si>
    <t>Normalår</t>
  </si>
  <si>
    <t xml:space="preserve"> prognose.</t>
  </si>
  <si>
    <r>
      <t>ab net: kg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 varme leveret</t>
    </r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</si>
  <si>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</si>
  <si>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</si>
  <si>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</si>
  <si>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</si>
  <si>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</si>
  <si>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</si>
  <si>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</si>
  <si>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</si>
  <si>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</si>
  <si>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</si>
  <si>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</si>
  <si>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Faaborg-Midtfyn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</si>
  <si>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</si>
  <si>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</si>
  <si>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</si>
  <si>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</si>
  <si>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</si>
  <si>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</si>
  <si>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</si>
  <si>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</si>
  <si>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</si>
  <si>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</si>
  <si>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</si>
  <si>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</si>
  <si>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</si>
  <si>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</si>
  <si>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</si>
  <si>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</si>
  <si>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</si>
  <si>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</si>
  <si>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</si>
  <si>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</si>
  <si>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</si>
  <si>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</si>
  <si>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</si>
  <si>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Høje-Taastrup</t>
  </si>
  <si>
    <t>Holbæk</t>
  </si>
  <si>
    <t>Holstebro</t>
  </si>
  <si>
    <t>Horsens</t>
  </si>
  <si>
    <t>Hørsholm</t>
  </si>
  <si>
    <t>Hvidovre</t>
  </si>
  <si>
    <t>Ikast-Brande</t>
  </si>
  <si>
    <t>Ishøj</t>
  </si>
  <si>
    <t>Jammerbugt</t>
  </si>
  <si>
    <t>Kalundborg</t>
  </si>
  <si>
    <t>Kerteminde</t>
  </si>
  <si>
    <t>København</t>
  </si>
  <si>
    <t>Køge</t>
  </si>
  <si>
    <t>Kolding</t>
  </si>
  <si>
    <t>Læsø</t>
  </si>
  <si>
    <t>Langeland</t>
  </si>
  <si>
    <t>Lejre</t>
  </si>
  <si>
    <t>Lemvig</t>
  </si>
  <si>
    <t>Lolland</t>
  </si>
  <si>
    <t>Lyngby-Taarbæk</t>
  </si>
  <si>
    <t>Mariagerfjord</t>
  </si>
  <si>
    <t>Middelfart</t>
  </si>
  <si>
    <t>Morsø</t>
  </si>
  <si>
    <t>Næstved</t>
  </si>
  <si>
    <t>Norddjurs</t>
  </si>
  <si>
    <t>Nordfyn</t>
  </si>
  <si>
    <t>Nyborg</t>
  </si>
  <si>
    <t>Odder</t>
  </si>
  <si>
    <t>Odense</t>
  </si>
  <si>
    <t>Odsherred</t>
  </si>
  <si>
    <t>Randers</t>
  </si>
  <si>
    <t>Rebild</t>
  </si>
  <si>
    <t>Ringkøbing-Skjern</t>
  </si>
  <si>
    <t>Ringsted</t>
  </si>
  <si>
    <t>Rødovre</t>
  </si>
  <si>
    <t>Roskilde</t>
  </si>
  <si>
    <t>Rudersdal</t>
  </si>
  <si>
    <t>Samsø</t>
  </si>
  <si>
    <t>Silkeborg</t>
  </si>
  <si>
    <t>Skanderborg</t>
  </si>
  <si>
    <t>Skive</t>
  </si>
  <si>
    <t>Slagelse</t>
  </si>
  <si>
    <t>Solrød</t>
  </si>
  <si>
    <t>Sønderborg</t>
  </si>
  <si>
    <t>Sorø</t>
  </si>
  <si>
    <t>Stevns</t>
  </si>
  <si>
    <t>Struer</t>
  </si>
  <si>
    <t>Svendborg</t>
  </si>
  <si>
    <t>Syddjurs</t>
  </si>
  <si>
    <t>Tårnby</t>
  </si>
  <si>
    <t>Thisted</t>
  </si>
  <si>
    <t>Tønder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</si>
  <si>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</si>
  <si>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</si>
  <si>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</si>
  <si>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</si>
  <si>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</si>
  <si>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</si>
  <si>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</si>
  <si>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</si>
  <si>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Aabenraa</t>
  </si>
  <si>
    <t>Aalborg</t>
  </si>
  <si>
    <t>Aarhus</t>
  </si>
  <si>
    <t>Klimaparken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</si>
</sst>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General_)"/>
    <numFmt numFmtId="166" formatCode="#,"/>
    <numFmt numFmtId="167" formatCode="#,##0.0_);\(#,##0.0\)"/>
    <numFmt numFmtId="168" formatCode="_ * #,##0.0_ ;_ * \-#,##0.0_ ;_ * &quot;-&quot;??_ ;_ @_ "/>
    <numFmt numFmtId="169" formatCode="_ * #,##0_ ;_ * \-#,##0_ ;_ * &quot;-&quot;??_ ;_ @_ "/>
    <numFmt numFmtId="170" formatCode="0.0_)"/>
    <numFmt numFmtId="171" formatCode="0_)"/>
    <numFmt numFmtId="172" formatCode="0.0"/>
    <numFmt numFmtId="173" formatCode="#,##0.000_);\(#,##0.000\)"/>
    <numFmt numFmtId="174" formatCode="0_);\(0\)"/>
    <numFmt numFmtId="175" formatCode="#"/>
    <numFmt numFmtId="176" formatCode="#,###"/>
    <numFmt numFmtId="177" formatCode="#,###.0"/>
    <numFmt numFmtId="178" formatCode="#,##0.0"/>
  </numFmts>
  <fonts count="110">
    <font>
      <sz val="10"/>
      <name val="Arial"/>
    </font>
    <font>
      <sz val="10"/>
      <name val="Arial"/>
      <family val="2"/>
    </font>
    <font>
      <sz val="1"/>
      <color indexed="18"/>
      <name val="Courier"/>
      <family val="3"/>
    </font>
    <font>
      <sz val="1"/>
      <color indexed="16"/>
      <name val="Courier"/>
      <family val="3"/>
    </font>
    <font>
      <sz val="12"/>
      <name val="Courier"/>
      <family val="3"/>
    </font>
    <font>
      <b/>
      <sz val="1"/>
      <color indexed="16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Courier"/>
      <family val="3"/>
    </font>
    <font>
      <b/>
      <sz val="14"/>
      <color indexed="20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22"/>
      <color indexed="12"/>
      <name val="Arial"/>
      <family val="2"/>
    </font>
    <font>
      <sz val="18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2"/>
      <color indexed="11"/>
      <name val="Courier"/>
      <family val="3"/>
    </font>
    <font>
      <sz val="12"/>
      <color indexed="57"/>
      <name val="Courier"/>
      <family val="3"/>
    </font>
    <font>
      <sz val="10"/>
      <name val="Helv"/>
    </font>
    <font>
      <sz val="8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8"/>
      <color indexed="10"/>
      <name val="Arial"/>
      <family val="2"/>
    </font>
    <font>
      <sz val="16"/>
      <name val="Arial"/>
      <family val="2"/>
    </font>
    <font>
      <sz val="18"/>
      <color indexed="8"/>
      <name val="Arial"/>
      <family val="2"/>
    </font>
    <font>
      <sz val="26"/>
      <name val="Arial"/>
      <family val="2"/>
    </font>
    <font>
      <sz val="12"/>
      <color indexed="12"/>
      <name val="Courier"/>
      <family val="3"/>
    </font>
    <font>
      <sz val="14"/>
      <color indexed="12"/>
      <name val="Arial"/>
      <family val="2"/>
    </font>
    <font>
      <sz val="12"/>
      <color indexed="10"/>
      <name val="Courier"/>
      <family val="3"/>
    </font>
    <font>
      <sz val="10"/>
      <color indexed="10"/>
      <name val="Arial"/>
      <family val="2"/>
    </font>
    <font>
      <b/>
      <sz val="22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18"/>
      <name val="Helv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vertAlign val="superscript"/>
      <sz val="14"/>
      <name val="Arial"/>
      <family val="2"/>
    </font>
    <font>
      <b/>
      <vertAlign val="superscript"/>
      <sz val="14"/>
      <name val="Arial"/>
      <family val="2"/>
    </font>
    <font>
      <vertAlign val="subscript"/>
      <sz val="14"/>
      <name val="Arial"/>
      <family val="2"/>
    </font>
    <font>
      <b/>
      <vertAlign val="subscript"/>
      <sz val="14"/>
      <name val="Arial"/>
      <family val="2"/>
    </font>
    <font>
      <b/>
      <vertAlign val="superscript"/>
      <sz val="10"/>
      <name val="Arial"/>
      <family val="2"/>
    </font>
    <font>
      <sz val="10"/>
      <name val="Palatino"/>
      <family val="1"/>
    </font>
    <font>
      <u/>
      <sz val="10"/>
      <color indexed="12"/>
      <name val="Arial"/>
      <family val="2"/>
    </font>
    <font>
      <sz val="10"/>
      <color indexed="13"/>
      <name val="Arial"/>
      <family val="2"/>
    </font>
    <font>
      <b/>
      <sz val="16"/>
      <name val="Arial"/>
      <family val="2"/>
    </font>
    <font>
      <sz val="10"/>
      <color indexed="50"/>
      <name val="Arial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sz val="10"/>
      <color indexed="48"/>
      <name val="Arial"/>
      <family val="2"/>
    </font>
    <font>
      <sz val="8"/>
      <color indexed="13"/>
      <name val="Arial"/>
      <family val="2"/>
    </font>
    <font>
      <sz val="10"/>
      <color indexed="22"/>
      <name val="Palatino"/>
      <family val="1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u/>
      <sz val="8"/>
      <color indexed="12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sz val="8"/>
      <color indexed="13"/>
      <name val="Arial"/>
      <family val="2"/>
    </font>
    <font>
      <sz val="10"/>
      <color rgb="FFFFFF00"/>
      <name val="Arial"/>
      <family val="2"/>
    </font>
    <font>
      <sz val="8"/>
      <color rgb="FFFFFF0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14"/>
      <color rgb="FF0070C0"/>
      <name val="Arial"/>
      <family val="2"/>
    </font>
    <font>
      <sz val="12"/>
      <color rgb="FF0070C0"/>
      <name val="Courier"/>
      <family val="3"/>
    </font>
    <font>
      <b/>
      <sz val="10"/>
      <color rgb="FFFF0000"/>
      <name val="Arial"/>
      <family val="2"/>
    </font>
    <font>
      <sz val="10"/>
      <color theme="9" tint="-0.249977111117893"/>
      <name val="Arial"/>
      <family val="2"/>
    </font>
    <font>
      <sz val="8"/>
      <color rgb="FFFFC000"/>
      <name val="Arial"/>
      <family val="2"/>
    </font>
    <font>
      <b/>
      <sz val="14"/>
      <color rgb="FFFF0000"/>
      <name val="Arial"/>
      <family val="2"/>
    </font>
    <font>
      <b/>
      <sz val="16"/>
      <name val="Helv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vertAlign val="subscript"/>
      <sz val="16"/>
      <name val="Calibri"/>
      <family val="2"/>
      <scheme val="minor"/>
    </font>
    <font>
      <sz val="10"/>
      <color theme="1"/>
      <name val="Arial"/>
      <family val="2"/>
    </font>
    <font>
      <b/>
      <vertAlign val="subscript"/>
      <sz val="18"/>
      <name val="Helv"/>
    </font>
    <font>
      <sz val="10"/>
      <color theme="1"/>
      <name val="Helv"/>
    </font>
    <font>
      <sz val="10"/>
      <color theme="5"/>
      <name val="Helv"/>
    </font>
    <font>
      <sz val="10"/>
      <color theme="3" tint="0.59999389629810485"/>
      <name val="Helv"/>
    </font>
    <font>
      <sz val="10"/>
      <color rgb="FF00B050"/>
      <name val="Helv"/>
    </font>
    <font>
      <b/>
      <sz val="10"/>
      <color indexed="10"/>
      <name val="Helv"/>
    </font>
    <font>
      <b/>
      <vertAlign val="subscript"/>
      <sz val="10"/>
      <color indexed="10"/>
      <name val="Helv"/>
    </font>
    <font>
      <sz val="10"/>
      <color theme="5"/>
      <name val="Arial"/>
      <family val="2"/>
    </font>
    <font>
      <sz val="10"/>
      <color theme="3" tint="0.59999389629810485"/>
      <name val="Arial"/>
      <family val="2"/>
    </font>
    <font>
      <sz val="10"/>
      <color rgb="FF00B050"/>
      <name val="Arial"/>
      <family val="2"/>
    </font>
    <font>
      <sz val="10"/>
      <color rgb="FF0070C0"/>
      <name val="Helv"/>
    </font>
    <font>
      <b/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rgb="FF00B050"/>
      <name val="Arial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0070C0"/>
      <name val="Arial"/>
      <family val="2"/>
    </font>
    <font>
      <sz val="10"/>
      <color rgb="FFFFC000"/>
      <name val="Arial"/>
      <family val="2"/>
    </font>
    <font>
      <sz val="6"/>
      <color rgb="FFFFC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6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4" fontId="1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32" fillId="0" borderId="0"/>
    <xf numFmtId="165" fontId="4" fillId="0" borderId="0"/>
    <xf numFmtId="37" fontId="4" fillId="0" borderId="0"/>
    <xf numFmtId="0" fontId="4" fillId="0" borderId="0"/>
    <xf numFmtId="166" fontId="5" fillId="0" borderId="0">
      <protection locked="0"/>
    </xf>
    <xf numFmtId="166" fontId="5" fillId="0" borderId="0">
      <protection locked="0"/>
    </xf>
    <xf numFmtId="166" fontId="3" fillId="0" borderId="0">
      <protection locked="0"/>
    </xf>
    <xf numFmtId="166" fontId="3" fillId="0" borderId="1">
      <protection locked="0"/>
    </xf>
    <xf numFmtId="0" fontId="1" fillId="0" borderId="0"/>
  </cellStyleXfs>
  <cellXfs count="462">
    <xf numFmtId="0" fontId="0" fillId="0" borderId="0" xfId="0"/>
    <xf numFmtId="37" fontId="6" fillId="0" borderId="0" xfId="9" applyFont="1"/>
    <xf numFmtId="37" fontId="7" fillId="0" borderId="0" xfId="9" applyFont="1"/>
    <xf numFmtId="37" fontId="4" fillId="0" borderId="0" xfId="9"/>
    <xf numFmtId="37" fontId="8" fillId="0" borderId="0" xfId="9" applyFont="1"/>
    <xf numFmtId="37" fontId="8" fillId="0" borderId="0" xfId="9" applyFont="1" applyAlignment="1">
      <alignment horizontal="left"/>
    </xf>
    <xf numFmtId="37" fontId="9" fillId="0" borderId="0" xfId="9" applyFont="1"/>
    <xf numFmtId="37" fontId="9" fillId="0" borderId="2" xfId="9" applyFont="1" applyBorder="1"/>
    <xf numFmtId="37" fontId="9" fillId="0" borderId="2" xfId="9" applyFont="1" applyBorder="1" applyAlignment="1">
      <alignment horizontal="center"/>
    </xf>
    <xf numFmtId="37" fontId="9" fillId="0" borderId="0" xfId="9" applyFont="1" applyAlignment="1">
      <alignment horizontal="left"/>
    </xf>
    <xf numFmtId="171" fontId="9" fillId="0" borderId="0" xfId="9" applyNumberFormat="1" applyFont="1"/>
    <xf numFmtId="165" fontId="4" fillId="0" borderId="0" xfId="8"/>
    <xf numFmtId="167" fontId="9" fillId="0" borderId="0" xfId="9" applyNumberFormat="1" applyFont="1"/>
    <xf numFmtId="170" fontId="9" fillId="0" borderId="0" xfId="9" applyNumberFormat="1" applyFont="1"/>
    <xf numFmtId="37" fontId="6" fillId="0" borderId="0" xfId="9" applyFont="1" applyAlignment="1">
      <alignment horizontal="center"/>
    </xf>
    <xf numFmtId="37" fontId="8" fillId="0" borderId="3" xfId="9" applyFont="1" applyBorder="1" applyAlignment="1">
      <alignment horizontal="left"/>
    </xf>
    <xf numFmtId="37" fontId="10" fillId="0" borderId="0" xfId="9" applyFont="1"/>
    <xf numFmtId="37" fontId="11" fillId="0" borderId="0" xfId="9" applyFont="1"/>
    <xf numFmtId="167" fontId="11" fillId="0" borderId="0" xfId="9" applyNumberFormat="1" applyFont="1"/>
    <xf numFmtId="165" fontId="6" fillId="0" borderId="0" xfId="8" applyFont="1"/>
    <xf numFmtId="168" fontId="10" fillId="0" borderId="0" xfId="5" applyNumberFormat="1" applyFont="1" applyBorder="1"/>
    <xf numFmtId="168" fontId="6" fillId="0" borderId="0" xfId="5" applyNumberFormat="1" applyFont="1" applyFill="1" applyBorder="1"/>
    <xf numFmtId="37" fontId="12" fillId="0" borderId="0" xfId="9" applyFont="1"/>
    <xf numFmtId="164" fontId="13" fillId="0" borderId="0" xfId="5" applyFont="1" applyBorder="1"/>
    <xf numFmtId="165" fontId="14" fillId="0" borderId="0" xfId="8" applyFont="1"/>
    <xf numFmtId="164" fontId="14" fillId="0" borderId="0" xfId="5" applyFont="1" applyFill="1" applyBorder="1"/>
    <xf numFmtId="37" fontId="15" fillId="0" borderId="0" xfId="9" applyFont="1"/>
    <xf numFmtId="37" fontId="17" fillId="0" borderId="0" xfId="9" applyFont="1"/>
    <xf numFmtId="170" fontId="17" fillId="0" borderId="0" xfId="9" applyNumberFormat="1" applyFont="1"/>
    <xf numFmtId="37" fontId="18" fillId="0" borderId="0" xfId="9" applyFont="1" applyAlignment="1">
      <alignment horizontal="right"/>
    </xf>
    <xf numFmtId="37" fontId="14" fillId="0" borderId="0" xfId="9" applyFont="1"/>
    <xf numFmtId="37" fontId="8" fillId="0" borderId="0" xfId="9" applyFont="1" applyAlignment="1">
      <alignment horizontal="center"/>
    </xf>
    <xf numFmtId="37" fontId="19" fillId="0" borderId="0" xfId="9" applyFont="1" applyAlignment="1">
      <alignment horizontal="left"/>
    </xf>
    <xf numFmtId="0" fontId="20" fillId="0" borderId="0" xfId="0" applyFont="1"/>
    <xf numFmtId="37" fontId="8" fillId="0" borderId="4" xfId="9" applyFont="1" applyBorder="1" applyAlignment="1">
      <alignment horizontal="center"/>
    </xf>
    <xf numFmtId="37" fontId="8" fillId="0" borderId="5" xfId="9" applyFont="1" applyBorder="1"/>
    <xf numFmtId="37" fontId="8" fillId="0" borderId="4" xfId="9" applyFont="1" applyBorder="1"/>
    <xf numFmtId="37" fontId="8" fillId="0" borderId="6" xfId="9" applyFont="1" applyBorder="1"/>
    <xf numFmtId="37" fontId="8" fillId="0" borderId="2" xfId="9" applyFont="1" applyBorder="1"/>
    <xf numFmtId="37" fontId="19" fillId="0" borderId="6" xfId="9" applyFont="1" applyBorder="1"/>
    <xf numFmtId="37" fontId="19" fillId="0" borderId="7" xfId="9" applyFont="1" applyBorder="1"/>
    <xf numFmtId="37" fontId="19" fillId="0" borderId="0" xfId="9" applyFont="1"/>
    <xf numFmtId="39" fontId="19" fillId="0" borderId="0" xfId="9" applyNumberFormat="1" applyFont="1"/>
    <xf numFmtId="37" fontId="19" fillId="2" borderId="0" xfId="9" applyFont="1" applyFill="1" applyAlignment="1">
      <alignment horizontal="left"/>
    </xf>
    <xf numFmtId="37" fontId="8" fillId="2" borderId="5" xfId="9" applyFont="1" applyFill="1" applyBorder="1"/>
    <xf numFmtId="37" fontId="8" fillId="2" borderId="0" xfId="9" applyFont="1" applyFill="1"/>
    <xf numFmtId="37" fontId="8" fillId="2" borderId="2" xfId="9" applyFont="1" applyFill="1" applyBorder="1"/>
    <xf numFmtId="37" fontId="19" fillId="2" borderId="6" xfId="9" applyFont="1" applyFill="1" applyBorder="1"/>
    <xf numFmtId="37" fontId="19" fillId="2" borderId="0" xfId="9" applyFont="1" applyFill="1"/>
    <xf numFmtId="37" fontId="19" fillId="0" borderId="3" xfId="9" applyFont="1" applyBorder="1"/>
    <xf numFmtId="37" fontId="8" fillId="0" borderId="8" xfId="9" applyFont="1" applyBorder="1" applyAlignment="1">
      <alignment horizontal="left"/>
    </xf>
    <xf numFmtId="37" fontId="8" fillId="0" borderId="9" xfId="9" applyFont="1" applyBorder="1" applyAlignment="1">
      <alignment horizontal="left"/>
    </xf>
    <xf numFmtId="170" fontId="19" fillId="0" borderId="0" xfId="9" applyNumberFormat="1" applyFont="1"/>
    <xf numFmtId="37" fontId="8" fillId="0" borderId="8" xfId="9" applyFont="1" applyBorder="1"/>
    <xf numFmtId="37" fontId="8" fillId="0" borderId="9" xfId="9" applyFont="1" applyBorder="1"/>
    <xf numFmtId="37" fontId="8" fillId="0" borderId="7" xfId="9" applyFont="1" applyBorder="1"/>
    <xf numFmtId="37" fontId="19" fillId="0" borderId="2" xfId="9" applyFont="1" applyBorder="1"/>
    <xf numFmtId="167" fontId="9" fillId="0" borderId="2" xfId="9" applyNumberFormat="1" applyFont="1" applyBorder="1"/>
    <xf numFmtId="0" fontId="0" fillId="2" borderId="0" xfId="0" applyFill="1"/>
    <xf numFmtId="0" fontId="0" fillId="3" borderId="2" xfId="0" applyFill="1" applyBorder="1"/>
    <xf numFmtId="0" fontId="0" fillId="3" borderId="0" xfId="0" applyFill="1"/>
    <xf numFmtId="0" fontId="0" fillId="3" borderId="9" xfId="0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7" xfId="0" applyFill="1" applyBorder="1"/>
    <xf numFmtId="0" fontId="22" fillId="3" borderId="0" xfId="0" applyFont="1" applyFill="1"/>
    <xf numFmtId="0" fontId="20" fillId="3" borderId="10" xfId="0" applyFont="1" applyFill="1" applyBorder="1"/>
    <xf numFmtId="0" fontId="0" fillId="3" borderId="0" xfId="0" applyFill="1" applyAlignment="1">
      <alignment horizontal="center"/>
    </xf>
    <xf numFmtId="0" fontId="23" fillId="2" borderId="0" xfId="0" applyFont="1" applyFill="1"/>
    <xf numFmtId="0" fontId="24" fillId="0" borderId="0" xfId="0" applyFont="1" applyAlignment="1">
      <alignment horizontal="right"/>
    </xf>
    <xf numFmtId="0" fontId="21" fillId="2" borderId="0" xfId="0" applyFont="1" applyFill="1"/>
    <xf numFmtId="0" fontId="25" fillId="2" borderId="0" xfId="0" applyFont="1" applyFill="1"/>
    <xf numFmtId="0" fontId="0" fillId="3" borderId="10" xfId="0" applyFill="1" applyBorder="1"/>
    <xf numFmtId="37" fontId="27" fillId="2" borderId="11" xfId="9" applyFont="1" applyFill="1" applyBorder="1" applyAlignment="1">
      <alignment horizontal="center"/>
    </xf>
    <xf numFmtId="37" fontId="27" fillId="2" borderId="12" xfId="9" applyFont="1" applyFill="1" applyBorder="1" applyAlignment="1">
      <alignment horizontal="center"/>
    </xf>
    <xf numFmtId="167" fontId="27" fillId="0" borderId="13" xfId="9" applyNumberFormat="1" applyFont="1" applyBorder="1" applyAlignment="1">
      <alignment horizontal="center"/>
    </xf>
    <xf numFmtId="37" fontId="28" fillId="0" borderId="0" xfId="9" applyFont="1" applyAlignment="1">
      <alignment horizontal="center"/>
    </xf>
    <xf numFmtId="37" fontId="28" fillId="0" borderId="4" xfId="9" applyFont="1" applyBorder="1"/>
    <xf numFmtId="37" fontId="28" fillId="0" borderId="0" xfId="9" applyFont="1"/>
    <xf numFmtId="39" fontId="27" fillId="0" borderId="0" xfId="9" applyNumberFormat="1" applyFont="1"/>
    <xf numFmtId="0" fontId="29" fillId="0" borderId="0" xfId="0" applyFont="1"/>
    <xf numFmtId="37" fontId="30" fillId="0" borderId="0" xfId="9" applyFont="1"/>
    <xf numFmtId="37" fontId="31" fillId="0" borderId="0" xfId="9" applyFont="1"/>
    <xf numFmtId="37" fontId="27" fillId="0" borderId="11" xfId="9" applyFont="1" applyBorder="1" applyAlignment="1">
      <alignment horizontal="center"/>
    </xf>
    <xf numFmtId="37" fontId="27" fillId="0" borderId="12" xfId="9" applyFont="1" applyBorder="1" applyAlignment="1">
      <alignment horizontal="center"/>
    </xf>
    <xf numFmtId="37" fontId="34" fillId="0" borderId="0" xfId="9" applyFont="1"/>
    <xf numFmtId="0" fontId="39" fillId="0" borderId="0" xfId="0" applyFont="1"/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37" fontId="34" fillId="0" borderId="6" xfId="9" applyFont="1" applyBorder="1"/>
    <xf numFmtId="0" fontId="8" fillId="0" borderId="0" xfId="0" applyFont="1"/>
    <xf numFmtId="0" fontId="20" fillId="2" borderId="0" xfId="0" applyFont="1" applyFill="1"/>
    <xf numFmtId="0" fontId="4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41" fillId="0" borderId="0" xfId="0" applyFont="1" applyAlignment="1">
      <alignment horizontal="right"/>
    </xf>
    <xf numFmtId="0" fontId="25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1" fillId="2" borderId="0" xfId="0" applyFont="1" applyFill="1" applyAlignment="1">
      <alignment wrapText="1"/>
    </xf>
    <xf numFmtId="167" fontId="20" fillId="0" borderId="0" xfId="0" applyNumberFormat="1" applyFont="1"/>
    <xf numFmtId="37" fontId="34" fillId="0" borderId="15" xfId="9" applyFont="1" applyBorder="1"/>
    <xf numFmtId="37" fontId="34" fillId="0" borderId="16" xfId="9" applyFont="1" applyBorder="1"/>
    <xf numFmtId="37" fontId="19" fillId="0" borderId="3" xfId="9" applyFont="1" applyBorder="1" applyAlignment="1">
      <alignment horizontal="left"/>
    </xf>
    <xf numFmtId="172" fontId="26" fillId="0" borderId="0" xfId="0" applyNumberFormat="1" applyFont="1"/>
    <xf numFmtId="37" fontId="42" fillId="2" borderId="0" xfId="9" applyFont="1" applyFill="1"/>
    <xf numFmtId="37" fontId="42" fillId="0" borderId="0" xfId="9" applyFont="1"/>
    <xf numFmtId="0" fontId="43" fillId="0" borderId="0" xfId="0" applyFont="1" applyAlignment="1">
      <alignment horizontal="right"/>
    </xf>
    <xf numFmtId="37" fontId="44" fillId="0" borderId="0" xfId="9" applyFont="1"/>
    <xf numFmtId="0" fontId="45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6" fillId="2" borderId="0" xfId="0" applyFont="1" applyFill="1"/>
    <xf numFmtId="0" fontId="24" fillId="2" borderId="0" xfId="0" applyFont="1" applyFill="1" applyAlignment="1">
      <alignment horizontal="right"/>
    </xf>
    <xf numFmtId="0" fontId="22" fillId="2" borderId="0" xfId="0" applyFont="1" applyFill="1"/>
    <xf numFmtId="0" fontId="41" fillId="2" borderId="0" xfId="0" applyFont="1" applyFill="1" applyAlignment="1">
      <alignment horizontal="right"/>
    </xf>
    <xf numFmtId="0" fontId="47" fillId="2" borderId="0" xfId="0" applyFont="1" applyFill="1"/>
    <xf numFmtId="0" fontId="48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37" fontId="8" fillId="0" borderId="4" xfId="9" applyFont="1" applyBorder="1" applyAlignment="1">
      <alignment horizontal="right"/>
    </xf>
    <xf numFmtId="37" fontId="28" fillId="0" borderId="0" xfId="9" applyFont="1" applyAlignment="1">
      <alignment horizontal="right"/>
    </xf>
    <xf numFmtId="0" fontId="49" fillId="0" borderId="0" xfId="7" applyFont="1"/>
    <xf numFmtId="37" fontId="16" fillId="0" borderId="0" xfId="9" applyFont="1"/>
    <xf numFmtId="37" fontId="8" fillId="0" borderId="0" xfId="9" applyFont="1" applyAlignment="1">
      <alignment horizontal="right"/>
    </xf>
    <xf numFmtId="0" fontId="0" fillId="2" borderId="0" xfId="0" applyFill="1" applyAlignment="1">
      <alignment horizontal="center"/>
    </xf>
    <xf numFmtId="173" fontId="8" fillId="0" borderId="0" xfId="9" applyNumberFormat="1" applyFont="1" applyAlignment="1">
      <alignment horizontal="center"/>
    </xf>
    <xf numFmtId="167" fontId="27" fillId="0" borderId="11" xfId="9" applyNumberFormat="1" applyFont="1" applyBorder="1" applyAlignment="1">
      <alignment horizontal="center"/>
    </xf>
    <xf numFmtId="176" fontId="8" fillId="0" borderId="17" xfId="9" applyNumberFormat="1" applyFont="1" applyBorder="1" applyAlignment="1">
      <alignment horizontal="right"/>
    </xf>
    <xf numFmtId="176" fontId="8" fillId="0" borderId="18" xfId="9" applyNumberFormat="1" applyFont="1" applyBorder="1" applyAlignment="1">
      <alignment horizontal="right"/>
    </xf>
    <xf numFmtId="0" fontId="57" fillId="0" borderId="0" xfId="10" applyFont="1" applyAlignment="1">
      <alignment horizontal="center"/>
    </xf>
    <xf numFmtId="0" fontId="0" fillId="3" borderId="0" xfId="0" applyFill="1" applyAlignment="1">
      <alignment horizontal="right"/>
    </xf>
    <xf numFmtId="0" fontId="25" fillId="0" borderId="0" xfId="0" applyFont="1" applyAlignment="1">
      <alignment horizontal="left"/>
    </xf>
    <xf numFmtId="2" fontId="0" fillId="3" borderId="0" xfId="0" applyNumberFormat="1" applyFill="1" applyAlignment="1">
      <alignment horizontal="right"/>
    </xf>
    <xf numFmtId="0" fontId="0" fillId="0" borderId="0" xfId="0" applyAlignment="1">
      <alignment wrapText="1"/>
    </xf>
    <xf numFmtId="0" fontId="33" fillId="0" borderId="0" xfId="0" applyFont="1" applyAlignment="1">
      <alignment wrapText="1"/>
    </xf>
    <xf numFmtId="169" fontId="20" fillId="5" borderId="18" xfId="5" applyNumberFormat="1" applyFont="1" applyFill="1" applyBorder="1" applyProtection="1"/>
    <xf numFmtId="0" fontId="59" fillId="2" borderId="0" xfId="0" applyFont="1" applyFill="1"/>
    <xf numFmtId="0" fontId="60" fillId="0" borderId="0" xfId="7" applyFont="1"/>
    <xf numFmtId="175" fontId="19" fillId="0" borderId="5" xfId="9" applyNumberFormat="1" applyFont="1" applyBorder="1" applyAlignment="1">
      <alignment horizontal="center"/>
    </xf>
    <xf numFmtId="175" fontId="19" fillId="0" borderId="18" xfId="9" applyNumberFormat="1" applyFont="1" applyBorder="1" applyAlignment="1">
      <alignment horizontal="center"/>
    </xf>
    <xf numFmtId="176" fontId="8" fillId="0" borderId="17" xfId="5" applyNumberFormat="1" applyFont="1" applyFill="1" applyBorder="1" applyAlignment="1" applyProtection="1">
      <alignment horizontal="right"/>
    </xf>
    <xf numFmtId="176" fontId="8" fillId="0" borderId="18" xfId="5" applyNumberFormat="1" applyFont="1" applyFill="1" applyBorder="1" applyProtection="1"/>
    <xf numFmtId="176" fontId="8" fillId="0" borderId="5" xfId="5" applyNumberFormat="1" applyFont="1" applyFill="1" applyBorder="1" applyProtection="1"/>
    <xf numFmtId="176" fontId="8" fillId="0" borderId="17" xfId="5" applyNumberFormat="1" applyFont="1" applyFill="1" applyBorder="1" applyProtection="1"/>
    <xf numFmtId="172" fontId="8" fillId="0" borderId="5" xfId="5" applyNumberFormat="1" applyFont="1" applyFill="1" applyBorder="1" applyProtection="1"/>
    <xf numFmtId="172" fontId="8" fillId="0" borderId="17" xfId="5" applyNumberFormat="1" applyFont="1" applyFill="1" applyBorder="1" applyProtection="1"/>
    <xf numFmtId="1" fontId="8" fillId="0" borderId="5" xfId="5" applyNumberFormat="1" applyFont="1" applyFill="1" applyBorder="1" applyProtection="1"/>
    <xf numFmtId="1" fontId="8" fillId="0" borderId="17" xfId="5" applyNumberFormat="1" applyFont="1" applyFill="1" applyBorder="1" applyProtection="1"/>
    <xf numFmtId="175" fontId="34" fillId="2" borderId="5" xfId="5" applyNumberFormat="1" applyFont="1" applyFill="1" applyBorder="1" applyProtection="1"/>
    <xf numFmtId="175" fontId="34" fillId="2" borderId="18" xfId="5" applyNumberFormat="1" applyFont="1" applyFill="1" applyBorder="1" applyProtection="1"/>
    <xf numFmtId="1" fontId="19" fillId="0" borderId="15" xfId="5" applyNumberFormat="1" applyFont="1" applyFill="1" applyBorder="1" applyProtection="1"/>
    <xf numFmtId="1" fontId="27" fillId="0" borderId="18" xfId="5" applyNumberFormat="1" applyFont="1" applyFill="1" applyBorder="1" applyProtection="1"/>
    <xf numFmtId="172" fontId="19" fillId="0" borderId="18" xfId="9" applyNumberFormat="1" applyFont="1" applyBorder="1"/>
    <xf numFmtId="3" fontId="0" fillId="2" borderId="18" xfId="5" applyNumberFormat="1" applyFont="1" applyFill="1" applyBorder="1" applyAlignment="1" applyProtection="1">
      <alignment horizontal="right"/>
      <protection locked="0"/>
    </xf>
    <xf numFmtId="3" fontId="0" fillId="3" borderId="0" xfId="0" applyNumberFormat="1" applyFill="1"/>
    <xf numFmtId="3" fontId="0" fillId="2" borderId="18" xfId="5" applyNumberFormat="1" applyFont="1" applyFill="1" applyBorder="1" applyProtection="1">
      <protection locked="0"/>
    </xf>
    <xf numFmtId="178" fontId="0" fillId="2" borderId="18" xfId="5" applyNumberFormat="1" applyFont="1" applyFill="1" applyBorder="1" applyProtection="1">
      <protection locked="0"/>
    </xf>
    <xf numFmtId="3" fontId="0" fillId="2" borderId="18" xfId="0" applyNumberFormat="1" applyFill="1" applyBorder="1" applyAlignment="1" applyProtection="1">
      <alignment horizontal="right"/>
      <protection locked="0"/>
    </xf>
    <xf numFmtId="178" fontId="0" fillId="2" borderId="18" xfId="0" applyNumberFormat="1" applyFill="1" applyBorder="1" applyProtection="1">
      <protection locked="0"/>
    </xf>
    <xf numFmtId="175" fontId="19" fillId="0" borderId="15" xfId="9" applyNumberFormat="1" applyFont="1" applyBorder="1" applyAlignment="1">
      <alignment horizontal="center"/>
    </xf>
    <xf numFmtId="175" fontId="27" fillId="0" borderId="11" xfId="9" applyNumberFormat="1" applyFont="1" applyBorder="1" applyAlignment="1">
      <alignment horizontal="center"/>
    </xf>
    <xf numFmtId="176" fontId="8" fillId="0" borderId="5" xfId="9" applyNumberFormat="1" applyFont="1" applyBorder="1"/>
    <xf numFmtId="176" fontId="8" fillId="0" borderId="18" xfId="9" applyNumberFormat="1" applyFont="1" applyBorder="1"/>
    <xf numFmtId="176" fontId="8" fillId="0" borderId="4" xfId="9" applyNumberFormat="1" applyFont="1" applyBorder="1"/>
    <xf numFmtId="176" fontId="8" fillId="0" borderId="17" xfId="9" applyNumberFormat="1" applyFont="1" applyBorder="1"/>
    <xf numFmtId="178" fontId="8" fillId="0" borderId="5" xfId="9" applyNumberFormat="1" applyFont="1" applyBorder="1"/>
    <xf numFmtId="1" fontId="8" fillId="0" borderId="18" xfId="5" applyNumberFormat="1" applyFont="1" applyFill="1" applyBorder="1" applyProtection="1"/>
    <xf numFmtId="1" fontId="19" fillId="0" borderId="5" xfId="9" applyNumberFormat="1" applyFont="1" applyBorder="1"/>
    <xf numFmtId="3" fontId="8" fillId="0" borderId="5" xfId="9" applyNumberFormat="1" applyFont="1" applyBorder="1"/>
    <xf numFmtId="3" fontId="8" fillId="0" borderId="17" xfId="9" applyNumberFormat="1" applyFont="1" applyBorder="1"/>
    <xf numFmtId="3" fontId="19" fillId="0" borderId="5" xfId="9" applyNumberFormat="1" applyFont="1" applyBorder="1"/>
    <xf numFmtId="3" fontId="34" fillId="0" borderId="5" xfId="9" applyNumberFormat="1" applyFont="1" applyBorder="1"/>
    <xf numFmtId="3" fontId="34" fillId="0" borderId="18" xfId="9" applyNumberFormat="1" applyFont="1" applyBorder="1"/>
    <xf numFmtId="1" fontId="34" fillId="0" borderId="18" xfId="9" applyNumberFormat="1" applyFont="1" applyBorder="1"/>
    <xf numFmtId="172" fontId="8" fillId="0" borderId="18" xfId="5" applyNumberFormat="1" applyFont="1" applyFill="1" applyBorder="1" applyProtection="1"/>
    <xf numFmtId="175" fontId="19" fillId="2" borderId="5" xfId="5" applyNumberFormat="1" applyFont="1" applyFill="1" applyBorder="1" applyProtection="1"/>
    <xf numFmtId="175" fontId="27" fillId="2" borderId="17" xfId="5" applyNumberFormat="1" applyFont="1" applyFill="1" applyBorder="1" applyProtection="1"/>
    <xf numFmtId="0" fontId="20" fillId="0" borderId="0" xfId="10" applyFont="1" applyAlignment="1">
      <alignment horizontal="center"/>
    </xf>
    <xf numFmtId="0" fontId="20" fillId="0" borderId="0" xfId="10" applyFont="1" applyAlignment="1">
      <alignment horizontal="left"/>
    </xf>
    <xf numFmtId="0" fontId="50" fillId="0" borderId="0" xfId="10" applyFont="1" applyAlignment="1">
      <alignment horizontal="left"/>
    </xf>
    <xf numFmtId="0" fontId="50" fillId="0" borderId="0" xfId="0" applyFont="1"/>
    <xf numFmtId="0" fontId="0" fillId="6" borderId="0" xfId="0" applyFill="1"/>
    <xf numFmtId="0" fontId="57" fillId="6" borderId="0" xfId="10" applyFont="1" applyFill="1" applyAlignment="1">
      <alignment horizontal="center"/>
    </xf>
    <xf numFmtId="0" fontId="22" fillId="6" borderId="0" xfId="0" applyFont="1" applyFill="1"/>
    <xf numFmtId="0" fontId="62" fillId="6" borderId="0" xfId="0" applyFont="1" applyFill="1"/>
    <xf numFmtId="0" fontId="20" fillId="6" borderId="0" xfId="0" applyFont="1" applyFill="1"/>
    <xf numFmtId="0" fontId="61" fillId="6" borderId="0" xfId="0" applyFont="1" applyFill="1"/>
    <xf numFmtId="0" fontId="22" fillId="6" borderId="0" xfId="10" applyFont="1" applyFill="1" applyAlignment="1">
      <alignment horizontal="center"/>
    </xf>
    <xf numFmtId="0" fontId="20" fillId="6" borderId="0" xfId="10" applyFont="1" applyFill="1" applyAlignment="1">
      <alignment horizontal="center"/>
    </xf>
    <xf numFmtId="0" fontId="25" fillId="6" borderId="0" xfId="10" applyFont="1" applyFill="1" applyAlignment="1">
      <alignment horizontal="center"/>
    </xf>
    <xf numFmtId="0" fontId="25" fillId="0" borderId="0" xfId="10" applyFont="1" applyAlignment="1">
      <alignment horizontal="center"/>
    </xf>
    <xf numFmtId="0" fontId="22" fillId="0" borderId="0" xfId="0" applyFont="1"/>
    <xf numFmtId="0" fontId="22" fillId="0" borderId="0" xfId="10" applyFont="1" applyAlignment="1">
      <alignment horizontal="center"/>
    </xf>
    <xf numFmtId="0" fontId="29" fillId="2" borderId="0" xfId="0" applyFont="1" applyFill="1"/>
    <xf numFmtId="0" fontId="63" fillId="0" borderId="0" xfId="0" applyFont="1"/>
    <xf numFmtId="0" fontId="8" fillId="0" borderId="2" xfId="9" applyNumberFormat="1" applyFont="1" applyBorder="1"/>
    <xf numFmtId="37" fontId="20" fillId="0" borderId="0" xfId="9" applyFont="1"/>
    <xf numFmtId="37" fontId="25" fillId="0" borderId="0" xfId="9" applyFont="1"/>
    <xf numFmtId="0" fontId="0" fillId="0" borderId="0" xfId="0" applyAlignment="1">
      <alignment horizontal="center"/>
    </xf>
    <xf numFmtId="0" fontId="20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0" fontId="20" fillId="3" borderId="0" xfId="0" applyFont="1" applyFill="1"/>
    <xf numFmtId="37" fontId="8" fillId="0" borderId="0" xfId="9" quotePrefix="1" applyFont="1"/>
    <xf numFmtId="0" fontId="66" fillId="0" borderId="0" xfId="10" applyFont="1" applyAlignment="1">
      <alignment horizontal="center"/>
    </xf>
    <xf numFmtId="0" fontId="67" fillId="0" borderId="0" xfId="0" applyFont="1" applyAlignment="1">
      <alignment horizontal="left"/>
    </xf>
    <xf numFmtId="0" fontId="66" fillId="0" borderId="5" xfId="10" applyFont="1" applyBorder="1" applyAlignment="1">
      <alignment horizontal="center"/>
    </xf>
    <xf numFmtId="0" fontId="63" fillId="0" borderId="4" xfId="0" applyFont="1" applyBorder="1" applyAlignment="1">
      <alignment horizontal="left"/>
    </xf>
    <xf numFmtId="0" fontId="66" fillId="0" borderId="8" xfId="10" applyFont="1" applyBorder="1" applyAlignment="1">
      <alignment horizontal="center"/>
    </xf>
    <xf numFmtId="0" fontId="66" fillId="0" borderId="6" xfId="10" applyFont="1" applyBorder="1" applyAlignment="1">
      <alignment horizontal="center"/>
    </xf>
    <xf numFmtId="0" fontId="63" fillId="0" borderId="3" xfId="0" applyFont="1" applyBorder="1" applyAlignment="1">
      <alignment horizontal="left"/>
    </xf>
    <xf numFmtId="0" fontId="66" fillId="0" borderId="7" xfId="10" applyFont="1" applyBorder="1" applyAlignment="1">
      <alignment horizontal="center"/>
    </xf>
    <xf numFmtId="0" fontId="67" fillId="0" borderId="0" xfId="0" applyFont="1"/>
    <xf numFmtId="0" fontId="68" fillId="0" borderId="2" xfId="0" applyFont="1" applyBorder="1" applyAlignment="1">
      <alignment horizontal="center"/>
    </xf>
    <xf numFmtId="168" fontId="68" fillId="0" borderId="0" xfId="5" applyNumberFormat="1" applyFont="1" applyFill="1" applyBorder="1"/>
    <xf numFmtId="168" fontId="68" fillId="0" borderId="9" xfId="5" applyNumberFormat="1" applyFont="1" applyFill="1" applyBorder="1"/>
    <xf numFmtId="0" fontId="22" fillId="0" borderId="17" xfId="0" applyFont="1" applyBorder="1" applyAlignment="1" applyProtection="1">
      <alignment horizontal="center"/>
      <protection locked="0"/>
    </xf>
    <xf numFmtId="0" fontId="20" fillId="0" borderId="21" xfId="10" applyFont="1" applyBorder="1" applyAlignment="1" applyProtection="1">
      <alignment horizontal="center"/>
      <protection locked="0"/>
    </xf>
    <xf numFmtId="0" fontId="20" fillId="0" borderId="17" xfId="10" applyFont="1" applyBorder="1" applyAlignment="1" applyProtection="1">
      <alignment horizontal="center"/>
      <protection locked="0"/>
    </xf>
    <xf numFmtId="177" fontId="8" fillId="0" borderId="5" xfId="5" applyNumberFormat="1" applyFont="1" applyFill="1" applyBorder="1" applyProtection="1"/>
    <xf numFmtId="172" fontId="27" fillId="2" borderId="11" xfId="5" applyNumberFormat="1" applyFont="1" applyFill="1" applyBorder="1" applyAlignment="1" applyProtection="1">
      <alignment horizontal="center"/>
    </xf>
    <xf numFmtId="174" fontId="27" fillId="0" borderId="11" xfId="9" applyNumberFormat="1" applyFont="1" applyBorder="1" applyAlignment="1">
      <alignment horizontal="center"/>
    </xf>
    <xf numFmtId="174" fontId="27" fillId="2" borderId="11" xfId="9" applyNumberFormat="1" applyFont="1" applyFill="1" applyBorder="1" applyAlignment="1">
      <alignment horizontal="center"/>
    </xf>
    <xf numFmtId="176" fontId="8" fillId="0" borderId="5" xfId="9" applyNumberFormat="1" applyFont="1" applyBorder="1" applyAlignment="1">
      <alignment horizontal="right"/>
    </xf>
    <xf numFmtId="176" fontId="8" fillId="0" borderId="15" xfId="9" applyNumberFormat="1" applyFont="1" applyBorder="1" applyAlignment="1">
      <alignment horizontal="right"/>
    </xf>
    <xf numFmtId="37" fontId="9" fillId="0" borderId="0" xfId="9" applyFont="1" applyAlignment="1">
      <alignment horizontal="center"/>
    </xf>
    <xf numFmtId="172" fontId="27" fillId="0" borderId="18" xfId="9" applyNumberFormat="1" applyFont="1" applyBorder="1"/>
    <xf numFmtId="0" fontId="65" fillId="3" borderId="0" xfId="0" applyFont="1" applyFill="1"/>
    <xf numFmtId="0" fontId="65" fillId="2" borderId="0" xfId="0" applyFont="1" applyFill="1"/>
    <xf numFmtId="3" fontId="27" fillId="0" borderId="17" xfId="9" applyNumberFormat="1" applyFont="1" applyBorder="1"/>
    <xf numFmtId="0" fontId="35" fillId="3" borderId="5" xfId="0" applyFont="1" applyFill="1" applyBorder="1"/>
    <xf numFmtId="0" fontId="35" fillId="3" borderId="4" xfId="0" applyFont="1" applyFill="1" applyBorder="1"/>
    <xf numFmtId="0" fontId="35" fillId="3" borderId="8" xfId="0" applyFont="1" applyFill="1" applyBorder="1"/>
    <xf numFmtId="0" fontId="35" fillId="2" borderId="0" xfId="0" applyFont="1" applyFill="1"/>
    <xf numFmtId="0" fontId="19" fillId="0" borderId="0" xfId="9" applyNumberFormat="1" applyFont="1" applyAlignment="1">
      <alignment horizontal="center"/>
    </xf>
    <xf numFmtId="0" fontId="58" fillId="0" borderId="0" xfId="6" applyFill="1" applyBorder="1" applyAlignment="1" applyProtection="1">
      <alignment horizontal="center"/>
    </xf>
    <xf numFmtId="0" fontId="69" fillId="6" borderId="0" xfId="6" applyFont="1" applyFill="1" applyAlignment="1" applyProtection="1">
      <alignment horizontal="center"/>
    </xf>
    <xf numFmtId="37" fontId="19" fillId="0" borderId="0" xfId="9" applyFont="1" applyAlignment="1">
      <alignment horizontal="center"/>
    </xf>
    <xf numFmtId="37" fontId="4" fillId="0" borderId="2" xfId="9" applyBorder="1"/>
    <xf numFmtId="0" fontId="71" fillId="3" borderId="0" xfId="0" applyFont="1" applyFill="1"/>
    <xf numFmtId="0" fontId="71" fillId="2" borderId="0" xfId="0" applyFont="1" applyFill="1"/>
    <xf numFmtId="0" fontId="35" fillId="3" borderId="0" xfId="0" applyFont="1" applyFill="1"/>
    <xf numFmtId="0" fontId="37" fillId="3" borderId="0" xfId="0" applyFont="1" applyFill="1"/>
    <xf numFmtId="0" fontId="37" fillId="2" borderId="0" xfId="0" applyFont="1" applyFill="1"/>
    <xf numFmtId="0" fontId="1" fillId="3" borderId="0" xfId="0" applyFont="1" applyFill="1"/>
    <xf numFmtId="0" fontId="20" fillId="3" borderId="0" xfId="0" applyFont="1" applyFill="1" applyAlignment="1">
      <alignment horizontal="left"/>
    </xf>
    <xf numFmtId="0" fontId="66" fillId="0" borderId="2" xfId="10" applyFont="1" applyBorder="1" applyAlignment="1">
      <alignment horizontal="center"/>
    </xf>
    <xf numFmtId="172" fontId="66" fillId="0" borderId="4" xfId="10" applyNumberFormat="1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73" fillId="3" borderId="0" xfId="0" applyFont="1" applyFill="1"/>
    <xf numFmtId="0" fontId="73" fillId="2" borderId="0" xfId="0" applyFont="1" applyFill="1"/>
    <xf numFmtId="0" fontId="74" fillId="3" borderId="0" xfId="0" applyFont="1" applyFill="1"/>
    <xf numFmtId="0" fontId="74" fillId="3" borderId="0" xfId="0" applyFont="1" applyFill="1" applyAlignment="1">
      <alignment horizontal="center"/>
    </xf>
    <xf numFmtId="0" fontId="74" fillId="2" borderId="0" xfId="0" applyFont="1" applyFill="1"/>
    <xf numFmtId="175" fontId="64" fillId="5" borderId="18" xfId="0" applyNumberFormat="1" applyFont="1" applyFill="1" applyBorder="1" applyAlignment="1">
      <alignment horizontal="right"/>
    </xf>
    <xf numFmtId="3" fontId="0" fillId="2" borderId="0" xfId="5" applyNumberFormat="1" applyFont="1" applyFill="1" applyBorder="1" applyProtection="1"/>
    <xf numFmtId="0" fontId="20" fillId="6" borderId="0" xfId="10" applyFont="1" applyFill="1" applyAlignment="1" applyProtection="1">
      <alignment horizontal="center"/>
      <protection locked="0"/>
    </xf>
    <xf numFmtId="0" fontId="72" fillId="3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0" fontId="66" fillId="0" borderId="3" xfId="10" applyFont="1" applyBorder="1" applyAlignment="1">
      <alignment horizontal="center"/>
    </xf>
    <xf numFmtId="0" fontId="66" fillId="0" borderId="17" xfId="10" applyFont="1" applyBorder="1" applyAlignment="1">
      <alignment horizontal="center"/>
    </xf>
    <xf numFmtId="0" fontId="66" fillId="0" borderId="20" xfId="10" applyFont="1" applyBorder="1" applyAlignment="1">
      <alignment horizontal="center"/>
    </xf>
    <xf numFmtId="0" fontId="66" fillId="0" borderId="21" xfId="10" applyFont="1" applyBorder="1" applyAlignment="1">
      <alignment horizontal="center"/>
    </xf>
    <xf numFmtId="0" fontId="0" fillId="0" borderId="18" xfId="0" applyBorder="1" applyAlignment="1">
      <alignment horizontal="center"/>
    </xf>
    <xf numFmtId="168" fontId="8" fillId="0" borderId="18" xfId="5" applyNumberFormat="1" applyFont="1" applyFill="1" applyBorder="1" applyProtection="1"/>
    <xf numFmtId="0" fontId="75" fillId="3" borderId="0" xfId="0" applyFont="1" applyFill="1"/>
    <xf numFmtId="0" fontId="0" fillId="0" borderId="18" xfId="0" applyBorder="1"/>
    <xf numFmtId="1" fontId="0" fillId="0" borderId="18" xfId="0" applyNumberForma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0" xfId="0" applyFont="1" applyAlignment="1">
      <alignment horizontal="center"/>
    </xf>
    <xf numFmtId="3" fontId="0" fillId="2" borderId="23" xfId="5" applyNumberFormat="1" applyFont="1" applyFill="1" applyBorder="1" applyAlignment="1" applyProtection="1">
      <alignment horizontal="right"/>
      <protection locked="0"/>
    </xf>
    <xf numFmtId="3" fontId="0" fillId="2" borderId="24" xfId="5" applyNumberFormat="1" applyFont="1" applyFill="1" applyBorder="1" applyAlignment="1" applyProtection="1">
      <alignment horizontal="right"/>
      <protection locked="0"/>
    </xf>
    <xf numFmtId="3" fontId="0" fillId="2" borderId="25" xfId="5" applyNumberFormat="1" applyFont="1" applyFill="1" applyBorder="1" applyAlignment="1" applyProtection="1">
      <alignment horizontal="right"/>
      <protection locked="0"/>
    </xf>
    <xf numFmtId="3" fontId="0" fillId="2" borderId="26" xfId="5" applyNumberFormat="1" applyFont="1" applyFill="1" applyBorder="1" applyAlignment="1" applyProtection="1">
      <alignment horizontal="right"/>
      <protection locked="0"/>
    </xf>
    <xf numFmtId="3" fontId="0" fillId="2" borderId="27" xfId="5" applyNumberFormat="1" applyFont="1" applyFill="1" applyBorder="1" applyAlignment="1" applyProtection="1">
      <alignment horizontal="right"/>
      <protection locked="0"/>
    </xf>
    <xf numFmtId="3" fontId="0" fillId="2" borderId="28" xfId="5" applyNumberFormat="1" applyFont="1" applyFill="1" applyBorder="1" applyAlignment="1" applyProtection="1">
      <alignment horizontal="right"/>
      <protection locked="0"/>
    </xf>
    <xf numFmtId="3" fontId="0" fillId="2" borderId="29" xfId="5" applyNumberFormat="1" applyFont="1" applyFill="1" applyBorder="1" applyAlignment="1" applyProtection="1">
      <alignment horizontal="right"/>
      <protection locked="0"/>
    </xf>
    <xf numFmtId="0" fontId="33" fillId="2" borderId="30" xfId="0" applyFont="1" applyFill="1" applyBorder="1" applyAlignment="1" applyProtection="1">
      <alignment horizontal="center"/>
      <protection locked="0"/>
    </xf>
    <xf numFmtId="0" fontId="33" fillId="2" borderId="31" xfId="0" applyFont="1" applyFill="1" applyBorder="1" applyAlignment="1" applyProtection="1">
      <alignment horizontal="center"/>
      <protection locked="0"/>
    </xf>
    <xf numFmtId="0" fontId="33" fillId="2" borderId="32" xfId="0" applyFont="1" applyFill="1" applyBorder="1" applyAlignment="1" applyProtection="1">
      <alignment horizontal="center"/>
      <protection locked="0"/>
    </xf>
    <xf numFmtId="0" fontId="36" fillId="2" borderId="22" xfId="0" applyFont="1" applyFill="1" applyBorder="1" applyAlignment="1">
      <alignment horizontal="center"/>
    </xf>
    <xf numFmtId="0" fontId="36" fillId="2" borderId="23" xfId="0" applyFont="1" applyFill="1" applyBorder="1" applyAlignment="1">
      <alignment horizontal="center"/>
    </xf>
    <xf numFmtId="0" fontId="36" fillId="2" borderId="24" xfId="0" applyFont="1" applyFill="1" applyBorder="1" applyAlignment="1">
      <alignment horizontal="center"/>
    </xf>
    <xf numFmtId="169" fontId="20" fillId="5" borderId="25" xfId="5" applyNumberFormat="1" applyFont="1" applyFill="1" applyBorder="1" applyProtection="1"/>
    <xf numFmtId="169" fontId="20" fillId="5" borderId="26" xfId="5" applyNumberFormat="1" applyFont="1" applyFill="1" applyBorder="1" applyAlignment="1" applyProtection="1">
      <alignment horizontal="right"/>
    </xf>
    <xf numFmtId="169" fontId="64" fillId="5" borderId="27" xfId="5" applyNumberFormat="1" applyFont="1" applyFill="1" applyBorder="1" applyAlignment="1" applyProtection="1">
      <alignment horizontal="right"/>
    </xf>
    <xf numFmtId="3" fontId="20" fillId="2" borderId="23" xfId="5" applyNumberFormat="1" applyFont="1" applyFill="1" applyBorder="1" applyProtection="1">
      <protection locked="0"/>
    </xf>
    <xf numFmtId="3" fontId="20" fillId="2" borderId="28" xfId="5" applyNumberFormat="1" applyFont="1" applyFill="1" applyBorder="1" applyProtection="1">
      <protection locked="0"/>
    </xf>
    <xf numFmtId="3" fontId="20" fillId="2" borderId="29" xfId="5" applyNumberFormat="1" applyFont="1" applyFill="1" applyBorder="1" applyProtection="1">
      <protection locked="0"/>
    </xf>
    <xf numFmtId="3" fontId="0" fillId="2" borderId="31" xfId="5" applyNumberFormat="1" applyFont="1" applyFill="1" applyBorder="1" applyAlignment="1" applyProtection="1">
      <alignment horizontal="right"/>
      <protection locked="0"/>
    </xf>
    <xf numFmtId="3" fontId="0" fillId="2" borderId="32" xfId="5" applyNumberFormat="1" applyFont="1" applyFill="1" applyBorder="1" applyAlignment="1" applyProtection="1">
      <alignment horizontal="right"/>
      <protection locked="0"/>
    </xf>
    <xf numFmtId="3" fontId="0" fillId="2" borderId="23" xfId="5" applyNumberFormat="1" applyFont="1" applyFill="1" applyBorder="1" applyProtection="1">
      <protection locked="0"/>
    </xf>
    <xf numFmtId="3" fontId="0" fillId="2" borderId="24" xfId="5" applyNumberFormat="1" applyFont="1" applyFill="1" applyBorder="1" applyProtection="1">
      <protection locked="0"/>
    </xf>
    <xf numFmtId="3" fontId="0" fillId="2" borderId="28" xfId="5" applyNumberFormat="1" applyFont="1" applyFill="1" applyBorder="1" applyProtection="1">
      <protection locked="0"/>
    </xf>
    <xf numFmtId="3" fontId="0" fillId="2" borderId="29" xfId="5" applyNumberFormat="1" applyFont="1" applyFill="1" applyBorder="1" applyProtection="1">
      <protection locked="0"/>
    </xf>
    <xf numFmtId="178" fontId="0" fillId="2" borderId="23" xfId="5" applyNumberFormat="1" applyFont="1" applyFill="1" applyBorder="1" applyProtection="1">
      <protection locked="0"/>
    </xf>
    <xf numFmtId="178" fontId="0" fillId="2" borderId="24" xfId="5" applyNumberFormat="1" applyFont="1" applyFill="1" applyBorder="1" applyProtection="1">
      <protection locked="0"/>
    </xf>
    <xf numFmtId="178" fontId="0" fillId="2" borderId="26" xfId="5" applyNumberFormat="1" applyFont="1" applyFill="1" applyBorder="1" applyProtection="1">
      <protection locked="0"/>
    </xf>
    <xf numFmtId="178" fontId="0" fillId="2" borderId="27" xfId="5" applyNumberFormat="1" applyFont="1" applyFill="1" applyBorder="1" applyProtection="1">
      <protection locked="0"/>
    </xf>
    <xf numFmtId="178" fontId="0" fillId="2" borderId="28" xfId="5" applyNumberFormat="1" applyFont="1" applyFill="1" applyBorder="1" applyProtection="1">
      <protection locked="0"/>
    </xf>
    <xf numFmtId="178" fontId="0" fillId="2" borderId="29" xfId="5" applyNumberFormat="1" applyFont="1" applyFill="1" applyBorder="1" applyProtection="1">
      <protection locked="0"/>
    </xf>
    <xf numFmtId="3" fontId="0" fillId="2" borderId="22" xfId="0" applyNumberFormat="1" applyFill="1" applyBorder="1" applyAlignment="1" applyProtection="1">
      <alignment horizontal="right"/>
      <protection locked="0"/>
    </xf>
    <xf numFmtId="3" fontId="0" fillId="2" borderId="23" xfId="0" applyNumberFormat="1" applyFill="1" applyBorder="1" applyAlignment="1" applyProtection="1">
      <alignment horizontal="right"/>
      <protection locked="0"/>
    </xf>
    <xf numFmtId="3" fontId="0" fillId="2" borderId="24" xfId="0" applyNumberFormat="1" applyFill="1" applyBorder="1" applyAlignment="1" applyProtection="1">
      <alignment horizontal="right"/>
      <protection locked="0"/>
    </xf>
    <xf numFmtId="3" fontId="0" fillId="2" borderId="25" xfId="0" applyNumberFormat="1" applyFill="1" applyBorder="1" applyAlignment="1" applyProtection="1">
      <alignment horizontal="right"/>
      <protection locked="0"/>
    </xf>
    <xf numFmtId="3" fontId="0" fillId="2" borderId="26" xfId="0" applyNumberFormat="1" applyFill="1" applyBorder="1" applyAlignment="1" applyProtection="1">
      <alignment horizontal="right"/>
      <protection locked="0"/>
    </xf>
    <xf numFmtId="3" fontId="0" fillId="2" borderId="27" xfId="0" applyNumberFormat="1" applyFill="1" applyBorder="1" applyAlignment="1" applyProtection="1">
      <alignment horizontal="right"/>
      <protection locked="0"/>
    </xf>
    <xf numFmtId="3" fontId="0" fillId="2" borderId="28" xfId="0" applyNumberFormat="1" applyFill="1" applyBorder="1" applyAlignment="1" applyProtection="1">
      <alignment horizontal="right"/>
      <protection locked="0"/>
    </xf>
    <xf numFmtId="3" fontId="0" fillId="2" borderId="29" xfId="0" applyNumberFormat="1" applyFill="1" applyBorder="1" applyAlignment="1" applyProtection="1">
      <alignment horizontal="right"/>
      <protection locked="0"/>
    </xf>
    <xf numFmtId="3" fontId="0" fillId="2" borderId="22" xfId="0" applyNumberFormat="1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3" fontId="0" fillId="2" borderId="24" xfId="0" applyNumberFormat="1" applyFill="1" applyBorder="1" applyProtection="1">
      <protection locked="0"/>
    </xf>
    <xf numFmtId="3" fontId="0" fillId="2" borderId="27" xfId="0" applyNumberFormat="1" applyFill="1" applyBorder="1" applyProtection="1">
      <protection locked="0"/>
    </xf>
    <xf numFmtId="3" fontId="0" fillId="2" borderId="28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178" fontId="0" fillId="2" borderId="23" xfId="0" applyNumberFormat="1" applyFill="1" applyBorder="1" applyProtection="1">
      <protection locked="0"/>
    </xf>
    <xf numFmtId="178" fontId="0" fillId="2" borderId="24" xfId="0" applyNumberFormat="1" applyFill="1" applyBorder="1" applyProtection="1">
      <protection locked="0"/>
    </xf>
    <xf numFmtId="178" fontId="0" fillId="2" borderId="26" xfId="0" applyNumberFormat="1" applyFill="1" applyBorder="1" applyProtection="1">
      <protection locked="0"/>
    </xf>
    <xf numFmtId="178" fontId="0" fillId="2" borderId="28" xfId="0" applyNumberFormat="1" applyFill="1" applyBorder="1" applyProtection="1">
      <protection locked="0"/>
    </xf>
    <xf numFmtId="178" fontId="0" fillId="2" borderId="29" xfId="0" applyNumberFormat="1" applyFill="1" applyBorder="1" applyProtection="1">
      <protection locked="0"/>
    </xf>
    <xf numFmtId="0" fontId="29" fillId="6" borderId="15" xfId="10" applyFont="1" applyFill="1" applyBorder="1" applyAlignment="1">
      <alignment horizontal="center"/>
    </xf>
    <xf numFmtId="0" fontId="29" fillId="6" borderId="19" xfId="10" applyFont="1" applyFill="1" applyBorder="1" applyAlignment="1">
      <alignment horizontal="center"/>
    </xf>
    <xf numFmtId="0" fontId="29" fillId="6" borderId="16" xfId="10" applyFont="1" applyFill="1" applyBorder="1" applyAlignment="1">
      <alignment horizontal="center"/>
    </xf>
    <xf numFmtId="0" fontId="77" fillId="0" borderId="0" xfId="0" applyFont="1"/>
    <xf numFmtId="0" fontId="22" fillId="0" borderId="18" xfId="0" applyFont="1" applyBorder="1" applyAlignment="1">
      <alignment horizontal="center" wrapText="1"/>
    </xf>
    <xf numFmtId="0" fontId="22" fillId="7" borderId="18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37" fontId="79" fillId="0" borderId="0" xfId="9" applyFont="1"/>
    <xf numFmtId="176" fontId="78" fillId="0" borderId="0" xfId="5" applyNumberFormat="1" applyFont="1" applyFill="1" applyBorder="1" applyAlignment="1" applyProtection="1">
      <alignment horizontal="right"/>
    </xf>
    <xf numFmtId="176" fontId="8" fillId="0" borderId="18" xfId="5" applyNumberFormat="1" applyFont="1" applyFill="1" applyBorder="1" applyAlignment="1" applyProtection="1">
      <alignment horizontal="right"/>
    </xf>
    <xf numFmtId="0" fontId="74" fillId="3" borderId="0" xfId="0" applyFont="1" applyFill="1" applyAlignment="1" applyProtection="1">
      <alignment horizontal="center"/>
      <protection locked="0"/>
    </xf>
    <xf numFmtId="0" fontId="68" fillId="0" borderId="0" xfId="5" applyNumberFormat="1" applyFont="1" applyFill="1" applyBorder="1" applyAlignment="1">
      <alignment horizontal="center"/>
    </xf>
    <xf numFmtId="0" fontId="1" fillId="0" borderId="0" xfId="10" applyFont="1" applyAlignment="1">
      <alignment horizontal="center"/>
    </xf>
    <xf numFmtId="0" fontId="81" fillId="3" borderId="0" xfId="0" applyFont="1" applyFill="1" applyAlignment="1">
      <alignment horizontal="left"/>
    </xf>
    <xf numFmtId="169" fontId="8" fillId="0" borderId="5" xfId="5" applyNumberFormat="1" applyFont="1" applyFill="1" applyBorder="1" applyProtection="1"/>
    <xf numFmtId="169" fontId="19" fillId="0" borderId="15" xfId="5" applyNumberFormat="1" applyFont="1" applyFill="1" applyBorder="1" applyProtection="1"/>
    <xf numFmtId="3" fontId="22" fillId="2" borderId="18" xfId="5" applyNumberFormat="1" applyFont="1" applyFill="1" applyBorder="1" applyProtection="1">
      <protection locked="0"/>
    </xf>
    <xf numFmtId="1" fontId="19" fillId="2" borderId="18" xfId="5" applyNumberFormat="1" applyFont="1" applyFill="1" applyBorder="1" applyProtection="1"/>
    <xf numFmtId="3" fontId="0" fillId="2" borderId="22" xfId="5" applyNumberFormat="1" applyFont="1" applyFill="1" applyBorder="1" applyProtection="1">
      <protection locked="0"/>
    </xf>
    <xf numFmtId="3" fontId="0" fillId="2" borderId="27" xfId="5" applyNumberFormat="1" applyFont="1" applyFill="1" applyBorder="1" applyProtection="1">
      <protection locked="0"/>
    </xf>
    <xf numFmtId="176" fontId="8" fillId="0" borderId="16" xfId="9" applyNumberFormat="1" applyFont="1" applyBorder="1"/>
    <xf numFmtId="176" fontId="8" fillId="0" borderId="8" xfId="9" applyNumberFormat="1" applyFont="1" applyBorder="1" applyAlignment="1">
      <alignment horizontal="right"/>
    </xf>
    <xf numFmtId="169" fontId="8" fillId="0" borderId="18" xfId="5" applyNumberFormat="1" applyFont="1" applyFill="1" applyBorder="1" applyProtection="1"/>
    <xf numFmtId="169" fontId="8" fillId="0" borderId="5" xfId="5" applyNumberFormat="1" applyFont="1" applyBorder="1"/>
    <xf numFmtId="169" fontId="19" fillId="0" borderId="15" xfId="5" applyNumberFormat="1" applyFont="1" applyBorder="1"/>
    <xf numFmtId="0" fontId="68" fillId="0" borderId="15" xfId="0" applyFont="1" applyBorder="1" applyAlignment="1">
      <alignment horizontal="center"/>
    </xf>
    <xf numFmtId="0" fontId="63" fillId="0" borderId="19" xfId="0" applyFont="1" applyBorder="1"/>
    <xf numFmtId="168" fontId="68" fillId="0" borderId="19" xfId="5" applyNumberFormat="1" applyFont="1" applyFill="1" applyBorder="1"/>
    <xf numFmtId="168" fontId="68" fillId="0" borderId="16" xfId="5" applyNumberFormat="1" applyFont="1" applyFill="1" applyBorder="1"/>
    <xf numFmtId="0" fontId="1" fillId="3" borderId="0" xfId="0" applyFont="1" applyFill="1" applyAlignment="1">
      <alignment horizontal="left"/>
    </xf>
    <xf numFmtId="1" fontId="19" fillId="0" borderId="18" xfId="5" applyNumberFormat="1" applyFont="1" applyFill="1" applyBorder="1" applyProtection="1"/>
    <xf numFmtId="0" fontId="82" fillId="3" borderId="0" xfId="0" applyFont="1" applyFill="1" applyAlignment="1" applyProtection="1">
      <alignment horizontal="left"/>
      <protection locked="0"/>
    </xf>
    <xf numFmtId="0" fontId="20" fillId="3" borderId="0" xfId="0" applyFont="1" applyFill="1" applyAlignment="1">
      <alignment horizontal="right"/>
    </xf>
    <xf numFmtId="169" fontId="64" fillId="5" borderId="26" xfId="5" applyNumberFormat="1" applyFont="1" applyFill="1" applyBorder="1" applyAlignment="1" applyProtection="1">
      <alignment horizontal="right"/>
    </xf>
    <xf numFmtId="169" fontId="64" fillId="5" borderId="28" xfId="5" applyNumberFormat="1" applyFont="1" applyFill="1" applyBorder="1" applyAlignment="1" applyProtection="1">
      <alignment horizontal="right"/>
    </xf>
    <xf numFmtId="169" fontId="64" fillId="5" borderId="29" xfId="5" applyNumberFormat="1" applyFont="1" applyFill="1" applyBorder="1" applyAlignment="1" applyProtection="1">
      <alignment horizontal="right"/>
    </xf>
    <xf numFmtId="3" fontId="20" fillId="2" borderId="22" xfId="5" applyNumberFormat="1" applyFont="1" applyFill="1" applyBorder="1" applyProtection="1">
      <protection locked="0"/>
    </xf>
    <xf numFmtId="3" fontId="20" fillId="2" borderId="24" xfId="5" applyNumberFormat="1" applyFont="1" applyFill="1" applyBorder="1" applyProtection="1">
      <protection locked="0"/>
    </xf>
    <xf numFmtId="3" fontId="20" fillId="2" borderId="27" xfId="5" applyNumberFormat="1" applyFont="1" applyFill="1" applyBorder="1" applyProtection="1">
      <protection locked="0"/>
    </xf>
    <xf numFmtId="3" fontId="0" fillId="2" borderId="22" xfId="5" applyNumberFormat="1" applyFont="1" applyFill="1" applyBorder="1" applyAlignment="1" applyProtection="1">
      <alignment horizontal="right"/>
      <protection locked="0"/>
    </xf>
    <xf numFmtId="3" fontId="0" fillId="2" borderId="30" xfId="5" applyNumberFormat="1" applyFont="1" applyFill="1" applyBorder="1" applyAlignment="1" applyProtection="1">
      <alignment horizontal="right"/>
      <protection locked="0"/>
    </xf>
    <xf numFmtId="178" fontId="0" fillId="2" borderId="22" xfId="5" applyNumberFormat="1" applyFont="1" applyFill="1" applyBorder="1" applyProtection="1">
      <protection locked="0"/>
    </xf>
    <xf numFmtId="178" fontId="0" fillId="2" borderId="25" xfId="5" applyNumberFormat="1" applyFont="1" applyFill="1" applyBorder="1" applyProtection="1">
      <protection locked="0"/>
    </xf>
    <xf numFmtId="37" fontId="19" fillId="2" borderId="7" xfId="9" applyFont="1" applyFill="1" applyBorder="1"/>
    <xf numFmtId="0" fontId="24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2" fillId="2" borderId="0" xfId="0" applyFont="1" applyFill="1" applyAlignment="1">
      <alignment horizontal="left"/>
    </xf>
    <xf numFmtId="0" fontId="26" fillId="2" borderId="0" xfId="0" applyFont="1" applyFill="1" applyAlignment="1">
      <alignment horizontal="right"/>
    </xf>
    <xf numFmtId="0" fontId="0" fillId="4" borderId="5" xfId="0" applyFill="1" applyBorder="1"/>
    <xf numFmtId="0" fontId="29" fillId="4" borderId="4" xfId="0" applyFont="1" applyFill="1" applyBorder="1"/>
    <xf numFmtId="0" fontId="0" fillId="4" borderId="4" xfId="0" applyFill="1" applyBorder="1"/>
    <xf numFmtId="0" fontId="22" fillId="4" borderId="4" xfId="0" applyFont="1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0" xfId="0" applyFill="1"/>
    <xf numFmtId="0" fontId="20" fillId="4" borderId="0" xfId="0" applyFont="1" applyFill="1"/>
    <xf numFmtId="0" fontId="0" fillId="4" borderId="9" xfId="0" applyFill="1" applyBorder="1"/>
    <xf numFmtId="0" fontId="20" fillId="4" borderId="10" xfId="0" applyFont="1" applyFill="1" applyBorder="1"/>
    <xf numFmtId="0" fontId="0" fillId="4" borderId="14" xfId="0" applyFill="1" applyBorder="1"/>
    <xf numFmtId="0" fontId="20" fillId="4" borderId="14" xfId="0" applyFont="1" applyFill="1" applyBorder="1"/>
    <xf numFmtId="0" fontId="22" fillId="4" borderId="0" xfId="0" applyFont="1" applyFill="1"/>
    <xf numFmtId="0" fontId="29" fillId="4" borderId="0" xfId="0" applyFont="1" applyFill="1"/>
    <xf numFmtId="0" fontId="1" fillId="4" borderId="0" xfId="0" applyFont="1" applyFill="1"/>
    <xf numFmtId="3" fontId="0" fillId="4" borderId="0" xfId="0" applyNumberFormat="1" applyFill="1"/>
    <xf numFmtId="0" fontId="0" fillId="4" borderId="6" xfId="0" applyFill="1" applyBorder="1"/>
    <xf numFmtId="0" fontId="0" fillId="4" borderId="3" xfId="0" applyFill="1" applyBorder="1"/>
    <xf numFmtId="0" fontId="0" fillId="4" borderId="7" xfId="0" applyFill="1" applyBorder="1"/>
    <xf numFmtId="0" fontId="25" fillId="0" borderId="0" xfId="0" applyFont="1"/>
    <xf numFmtId="175" fontId="22" fillId="2" borderId="18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18" xfId="0" applyFill="1" applyBorder="1" applyProtection="1">
      <protection locked="0"/>
    </xf>
    <xf numFmtId="178" fontId="0" fillId="2" borderId="0" xfId="0" applyNumberFormat="1" applyFill="1" applyProtection="1">
      <protection locked="0"/>
    </xf>
    <xf numFmtId="0" fontId="60" fillId="2" borderId="0" xfId="0" applyFont="1" applyFill="1"/>
    <xf numFmtId="0" fontId="26" fillId="6" borderId="18" xfId="10" applyFont="1" applyFill="1" applyBorder="1" applyAlignment="1" applyProtection="1">
      <alignment horizontal="center"/>
      <protection locked="0"/>
    </xf>
    <xf numFmtId="0" fontId="22" fillId="0" borderId="17" xfId="10" applyFont="1" applyBorder="1" applyAlignment="1">
      <alignment horizontal="center"/>
    </xf>
    <xf numFmtId="0" fontId="22" fillId="0" borderId="20" xfId="10" applyFont="1" applyBorder="1" applyAlignment="1">
      <alignment horizontal="center"/>
    </xf>
    <xf numFmtId="0" fontId="22" fillId="0" borderId="21" xfId="10" applyFont="1" applyBorder="1" applyAlignment="1">
      <alignment horizontal="center"/>
    </xf>
    <xf numFmtId="49" fontId="22" fillId="0" borderId="17" xfId="10" applyNumberFormat="1" applyFont="1" applyBorder="1" applyAlignment="1">
      <alignment horizontal="center"/>
    </xf>
    <xf numFmtId="49" fontId="22" fillId="0" borderId="20" xfId="10" applyNumberFormat="1" applyFont="1" applyBorder="1" applyAlignment="1">
      <alignment horizontal="center"/>
    </xf>
    <xf numFmtId="49" fontId="22" fillId="0" borderId="21" xfId="10" applyNumberFormat="1" applyFont="1" applyBorder="1" applyAlignment="1">
      <alignment horizontal="center"/>
    </xf>
    <xf numFmtId="0" fontId="80" fillId="0" borderId="17" xfId="10" applyFont="1" applyBorder="1" applyAlignment="1">
      <alignment horizontal="center"/>
    </xf>
    <xf numFmtId="0" fontId="80" fillId="0" borderId="20" xfId="10" applyFont="1" applyBorder="1" applyAlignment="1">
      <alignment horizontal="center"/>
    </xf>
    <xf numFmtId="0" fontId="80" fillId="0" borderId="21" xfId="10" applyFont="1" applyBorder="1" applyAlignment="1">
      <alignment horizontal="center"/>
    </xf>
    <xf numFmtId="0" fontId="29" fillId="0" borderId="17" xfId="10" applyFont="1" applyBorder="1" applyAlignment="1">
      <alignment horizontal="center"/>
    </xf>
    <xf numFmtId="0" fontId="29" fillId="0" borderId="20" xfId="10" applyFont="1" applyBorder="1" applyAlignment="1">
      <alignment horizontal="center"/>
    </xf>
    <xf numFmtId="0" fontId="29" fillId="0" borderId="21" xfId="10" applyFont="1" applyBorder="1" applyAlignment="1">
      <alignment horizontal="center"/>
    </xf>
    <xf numFmtId="0" fontId="26" fillId="6" borderId="15" xfId="10" applyFont="1" applyFill="1" applyBorder="1" applyAlignment="1" applyProtection="1">
      <alignment horizontal="center"/>
      <protection locked="0"/>
    </xf>
    <xf numFmtId="0" fontId="58" fillId="0" borderId="0" xfId="6" applyAlignment="1" applyProtection="1"/>
    <xf numFmtId="1" fontId="83" fillId="0" borderId="18" xfId="5" applyNumberFormat="1" applyFont="1" applyFill="1" applyBorder="1" applyProtection="1"/>
    <xf numFmtId="169" fontId="83" fillId="0" borderId="15" xfId="5" applyNumberFormat="1" applyFont="1" applyFill="1" applyBorder="1" applyProtection="1"/>
    <xf numFmtId="1" fontId="83" fillId="2" borderId="18" xfId="5" applyNumberFormat="1" applyFont="1" applyFill="1" applyBorder="1" applyProtection="1"/>
    <xf numFmtId="0" fontId="84" fillId="0" borderId="0" xfId="7" applyFont="1"/>
    <xf numFmtId="0" fontId="85" fillId="0" borderId="0" xfId="7" applyFont="1"/>
    <xf numFmtId="0" fontId="86" fillId="0" borderId="0" xfId="7" applyFont="1"/>
    <xf numFmtId="0" fontId="87" fillId="0" borderId="0" xfId="0" applyFont="1"/>
    <xf numFmtId="0" fontId="32" fillId="0" borderId="0" xfId="7"/>
    <xf numFmtId="0" fontId="91" fillId="0" borderId="0" xfId="7" applyFont="1"/>
    <xf numFmtId="0" fontId="92" fillId="0" borderId="0" xfId="7" applyFont="1"/>
    <xf numFmtId="0" fontId="93" fillId="0" borderId="0" xfId="7" applyFont="1"/>
    <xf numFmtId="0" fontId="94" fillId="0" borderId="0" xfId="7" applyFont="1"/>
    <xf numFmtId="0" fontId="95" fillId="0" borderId="0" xfId="7" applyFont="1"/>
    <xf numFmtId="172" fontId="97" fillId="0" borderId="0" xfId="15" applyNumberFormat="1" applyFont="1"/>
    <xf numFmtId="172" fontId="98" fillId="0" borderId="0" xfId="15" applyNumberFormat="1" applyFont="1"/>
    <xf numFmtId="172" fontId="99" fillId="0" borderId="0" xfId="15" applyNumberFormat="1" applyFont="1"/>
    <xf numFmtId="0" fontId="77" fillId="0" borderId="0" xfId="15" applyFont="1"/>
    <xf numFmtId="0" fontId="100" fillId="0" borderId="0" xfId="7" applyFont="1"/>
    <xf numFmtId="0" fontId="1" fillId="0" borderId="0" xfId="15"/>
    <xf numFmtId="0" fontId="1" fillId="0" borderId="0" xfId="15" applyAlignment="1">
      <alignment horizontal="center"/>
    </xf>
    <xf numFmtId="0" fontId="99" fillId="0" borderId="0" xfId="15" applyFont="1"/>
    <xf numFmtId="0" fontId="101" fillId="0" borderId="0" xfId="5" applyNumberFormat="1" applyFont="1" applyAlignment="1">
      <alignment horizontal="center" vertical="center"/>
    </xf>
    <xf numFmtId="1" fontId="101" fillId="0" borderId="0" xfId="15" applyNumberFormat="1" applyFont="1" applyAlignment="1">
      <alignment horizontal="center" vertical="center"/>
    </xf>
    <xf numFmtId="1" fontId="102" fillId="0" borderId="0" xfId="15" applyNumberFormat="1" applyFont="1" applyAlignment="1">
      <alignment horizontal="center" vertical="center"/>
    </xf>
    <xf numFmtId="0" fontId="99" fillId="0" borderId="0" xfId="5" applyNumberFormat="1" applyFont="1" applyAlignment="1">
      <alignment horizontal="center" vertical="center" wrapText="1"/>
    </xf>
    <xf numFmtId="0" fontId="103" fillId="6" borderId="0" xfId="10" applyFont="1" applyFill="1" applyAlignment="1" applyProtection="1">
      <alignment horizontal="center"/>
      <protection locked="0"/>
    </xf>
    <xf numFmtId="0" fontId="103" fillId="6" borderId="0" xfId="10" applyFont="1" applyFill="1" applyAlignment="1" applyProtection="1">
      <alignment horizontal="center" wrapText="1"/>
      <protection locked="0"/>
    </xf>
    <xf numFmtId="49" fontId="22" fillId="6" borderId="0" xfId="10" applyNumberFormat="1" applyFont="1" applyFill="1" applyAlignment="1" applyProtection="1">
      <alignment horizontal="center"/>
      <protection locked="0"/>
    </xf>
    <xf numFmtId="49" fontId="22" fillId="6" borderId="0" xfId="10" applyNumberFormat="1" applyFont="1" applyFill="1" applyAlignment="1" applyProtection="1">
      <alignment horizontal="center" wrapText="1"/>
      <protection locked="0"/>
    </xf>
    <xf numFmtId="0" fontId="104" fillId="8" borderId="0" xfId="15" applyFont="1" applyFill="1"/>
    <xf numFmtId="0" fontId="106" fillId="8" borderId="0" xfId="15" applyFont="1" applyFill="1" applyAlignment="1">
      <alignment horizontal="center"/>
    </xf>
    <xf numFmtId="172" fontId="77" fillId="0" borderId="0" xfId="15" applyNumberFormat="1" applyFont="1"/>
    <xf numFmtId="172" fontId="1" fillId="0" borderId="0" xfId="15" applyNumberFormat="1"/>
    <xf numFmtId="169" fontId="99" fillId="0" borderId="0" xfId="15" applyNumberFormat="1" applyFont="1"/>
    <xf numFmtId="0" fontId="89" fillId="0" borderId="0" xfId="15" applyFont="1"/>
    <xf numFmtId="0" fontId="97" fillId="0" borderId="0" xfId="15" applyFont="1"/>
    <xf numFmtId="0" fontId="98" fillId="0" borderId="0" xfId="15" applyFont="1"/>
    <xf numFmtId="0" fontId="107" fillId="2" borderId="0" xfId="0" applyFont="1" applyFill="1" applyAlignment="1">
      <alignment horizontal="left"/>
    </xf>
    <xf numFmtId="0" fontId="108" fillId="3" borderId="0" xfId="0" applyFont="1" applyFill="1"/>
    <xf numFmtId="0" fontId="109" fillId="3" borderId="0" xfId="0" applyFont="1" applyFill="1" applyProtection="1">
      <protection locked="0"/>
    </xf>
    <xf numFmtId="0" fontId="108" fillId="2" borderId="0" xfId="0" applyFont="1" applyFill="1"/>
    <xf numFmtId="0" fontId="108" fillId="2" borderId="0" xfId="0" applyFont="1" applyFill="1" applyAlignment="1">
      <alignment horizontal="left"/>
    </xf>
    <xf numFmtId="0" fontId="82" fillId="3" borderId="4" xfId="0" applyFont="1" applyFill="1" applyBorder="1" applyProtection="1">
      <protection locked="0"/>
    </xf>
    <xf numFmtId="3" fontId="0" fillId="9" borderId="27" xfId="5" applyNumberFormat="1" applyFont="1" applyFill="1" applyBorder="1" applyProtection="1">
      <protection locked="0"/>
    </xf>
    <xf numFmtId="3" fontId="0" fillId="9" borderId="28" xfId="5" applyNumberFormat="1" applyFont="1" applyFill="1" applyBorder="1" applyProtection="1">
      <protection locked="0"/>
    </xf>
    <xf numFmtId="3" fontId="0" fillId="9" borderId="29" xfId="5" applyNumberFormat="1" applyFont="1" applyFill="1" applyBorder="1" applyProtection="1">
      <protection locked="0"/>
    </xf>
    <xf numFmtId="0" fontId="22" fillId="2" borderId="33" xfId="0" applyFont="1" applyFill="1" applyBorder="1" applyAlignment="1" applyProtection="1">
      <alignment horizontal="left"/>
      <protection locked="0"/>
    </xf>
    <xf numFmtId="0" fontId="22" fillId="2" borderId="12" xfId="0" applyFont="1" applyFill="1" applyBorder="1" applyAlignment="1" applyProtection="1">
      <alignment horizontal="left"/>
      <protection locked="0"/>
    </xf>
    <xf numFmtId="0" fontId="22" fillId="2" borderId="13" xfId="0" applyFont="1" applyFill="1" applyBorder="1" applyAlignment="1" applyProtection="1">
      <alignment horizontal="left"/>
      <protection locked="0"/>
    </xf>
    <xf numFmtId="0" fontId="22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0" fillId="0" borderId="9" xfId="10" applyFont="1" applyBorder="1" applyAlignment="1" applyProtection="1">
      <alignment horizontal="center"/>
      <protection locked="0"/>
    </xf>
    <xf numFmtId="0" fontId="26" fillId="6" borderId="8" xfId="10" applyFont="1" applyFill="1" applyBorder="1" applyAlignment="1">
      <alignment horizontal="center"/>
    </xf>
    <xf numFmtId="0" fontId="26" fillId="6" borderId="7" xfId="10" applyFont="1" applyFill="1" applyBorder="1" applyAlignment="1">
      <alignment horizontal="center"/>
    </xf>
  </cellXfs>
  <cellStyles count="16">
    <cellStyle name="Afrundet valut" xfId="1" xr:uid="{00000000-0005-0000-0000-000000000000}"/>
    <cellStyle name="Belb" xfId="2" xr:uid="{00000000-0005-0000-0000-000001000000}"/>
    <cellStyle name="Dato" xfId="3" xr:uid="{00000000-0005-0000-0000-000002000000}"/>
    <cellStyle name="Fast" xfId="4" xr:uid="{00000000-0005-0000-0000-000003000000}"/>
    <cellStyle name="Komma" xfId="5" builtinId="3"/>
    <cellStyle name="Link" xfId="6" builtinId="8"/>
    <cellStyle name="Normal" xfId="0" builtinId="0"/>
    <cellStyle name="Normal 2" xfId="15" xr:uid="{00000000-0005-0000-0000-000007000000}"/>
    <cellStyle name="Normal_eloco2 beh" xfId="7" xr:uid="{00000000-0005-0000-0000-000008000000}"/>
    <cellStyle name="Normal_ENGHAVE2" xfId="8" xr:uid="{00000000-0005-0000-0000-000009000000}"/>
    <cellStyle name="Normal_ENGHAVE2_1" xfId="9" xr:uid="{00000000-0005-0000-0000-00000A000000}"/>
    <cellStyle name="Normal_GRADD-TI" xfId="10" xr:uid="{00000000-0005-0000-0000-00000B000000}"/>
    <cellStyle name="Overskrift1" xfId="11" xr:uid="{00000000-0005-0000-0000-00000C000000}"/>
    <cellStyle name="Overskrift2" xfId="12" xr:uid="{00000000-0005-0000-0000-00000D000000}"/>
    <cellStyle name="Punktum" xfId="13" xr:uid="{00000000-0005-0000-0000-00000E000000}"/>
    <cellStyle name="Total" xfId="14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Varmeforbrug pr. m</a:t>
            </a:r>
            <a:r>
              <a:rPr lang="da-DK" sz="8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c:rich>
      </c:tx>
      <c:layout>
        <c:manualLayout>
          <c:xMode val="edge"/>
          <c:yMode val="edge"/>
          <c:x val="0.36577251669044725"/>
          <c:y val="4.954954954954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8690158822749"/>
          <c:y val="0.14864930254655187"/>
          <c:w val="0.76845763497803554"/>
          <c:h val="0.621624356103762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'BASIS-regneark'!$A$24</c:f>
              <c:strCache>
                <c:ptCount val="1"/>
                <c:pt idx="0">
                  <c:v>   rumvarme 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'BASIS-regneark'!$C$24:$H$24</c:f>
              <c:numCache>
                <c:formatCode>0.0</c:formatCode>
                <c:ptCount val="6"/>
                <c:pt idx="0">
                  <c:v>80.630399279807492</c:v>
                </c:pt>
                <c:pt idx="1">
                  <c:v>71.618149309424481</c:v>
                </c:pt>
                <c:pt idx="2">
                  <c:v>82.177479492915737</c:v>
                </c:pt>
                <c:pt idx="3">
                  <c:v>74.996227314244877</c:v>
                </c:pt>
                <c:pt idx="4">
                  <c:v>82.221293006717417</c:v>
                </c:pt>
                <c:pt idx="5">
                  <c:v>80.756685328789516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4-4BFB-A459-B7A1E873160B}"/>
            </c:ext>
          </c:extLst>
        </c:ser>
        <c:ser>
          <c:idx val="1"/>
          <c:order val="1"/>
          <c:tx>
            <c:strRef>
              <c:f>'BASIS-regneark'!$A$25</c:f>
              <c:strCache>
                <c:ptCount val="1"/>
                <c:pt idx="0">
                  <c:v>   varmt vand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'BASIS-regneark'!$C$25:$H$25</c:f>
              <c:numCache>
                <c:formatCode>0.0</c:formatCode>
                <c:ptCount val="6"/>
                <c:pt idx="0">
                  <c:v>25.167785234899327</c:v>
                </c:pt>
                <c:pt idx="1">
                  <c:v>25.302013422818792</c:v>
                </c:pt>
                <c:pt idx="2">
                  <c:v>25.436241610738254</c:v>
                </c:pt>
                <c:pt idx="3">
                  <c:v>25.63758389261745</c:v>
                </c:pt>
                <c:pt idx="4">
                  <c:v>25.436241610738254</c:v>
                </c:pt>
                <c:pt idx="5">
                  <c:v>25.436241610738254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4-4BFB-A459-B7A1E873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906432"/>
        <c:axId val="135907968"/>
      </c:barChart>
      <c:catAx>
        <c:axId val="135906432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59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5907968"/>
        <c:scaling>
          <c:orientation val="minMax"/>
          <c:max val="1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0201342281879196E-2"/>
              <c:y val="0.414416306069849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5906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58424492240484"/>
          <c:y val="0.88288666619375278"/>
          <c:w val="0.64094065423030167"/>
          <c:h val="9.00905630039487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Varmeforbrug pr. person</a:t>
            </a:r>
          </a:p>
        </c:rich>
      </c:tx>
      <c:layout>
        <c:manualLayout>
          <c:xMode val="edge"/>
          <c:yMode val="edge"/>
          <c:x val="0.34576342363984158"/>
          <c:y val="5.0925925925925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03175708008875"/>
          <c:y val="0.15277846850797755"/>
          <c:w val="0.80502057684778339"/>
          <c:h val="0.62037317515360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'BASIS-X-regneark '!$A$22</c:f>
              <c:strCache>
                <c:ptCount val="1"/>
                <c:pt idx="0">
                  <c:v>   fossile brændsler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'!$C$22:$H$22</c:f>
              <c:numCache>
                <c:formatCode>_ * #,##0_ ;_ * \-#,##0_ ;_ * "-"??_ ;_ @_ </c:formatCode>
                <c:ptCount val="6"/>
                <c:pt idx="0">
                  <c:v>4203.7145313843503</c:v>
                </c:pt>
                <c:pt idx="1">
                  <c:v>3830.5316305316305</c:v>
                </c:pt>
                <c:pt idx="2">
                  <c:v>4230.7241278217525</c:v>
                </c:pt>
                <c:pt idx="3">
                  <c:v>3925.2455156603369</c:v>
                </c:pt>
                <c:pt idx="4">
                  <c:v>4232.4466116097346</c:v>
                </c:pt>
                <c:pt idx="5">
                  <c:v>4174.867048546078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A-4607-870B-21A28881F4C2}"/>
            </c:ext>
          </c:extLst>
        </c:ser>
        <c:ser>
          <c:idx val="1"/>
          <c:order val="1"/>
          <c:tx>
            <c:strRef>
              <c:f>'BASIS-X-regneark '!$A$23</c:f>
              <c:strCache>
                <c:ptCount val="1"/>
                <c:pt idx="0">
                  <c:v>   vedvarende energi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'!$C$23:$H$23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A-4607-870B-21A28881F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85824"/>
        <c:axId val="133087616"/>
      </c:barChart>
      <c:catAx>
        <c:axId val="133085824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308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3087616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kWh</a:t>
                </a:r>
              </a:p>
            </c:rich>
          </c:tx>
          <c:layout>
            <c:manualLayout>
              <c:xMode val="edge"/>
              <c:yMode val="edge"/>
              <c:x val="3.6893896550224039E-3"/>
              <c:y val="0.450506800286327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3085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47493215890387"/>
          <c:y val="0.90278166618061628"/>
          <c:w val="0.87796752524578481"/>
          <c:h val="8.33338193836881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Elforbrug pr. person</a:t>
            </a:r>
          </a:p>
        </c:rich>
      </c:tx>
      <c:layout>
        <c:manualLayout>
          <c:xMode val="edge"/>
          <c:yMode val="edge"/>
          <c:x val="0.43434484830810288"/>
          <c:y val="4.5662100456621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75489515893031"/>
          <c:y val="0.14611937303516087"/>
          <c:w val="0.77104630631282323"/>
          <c:h val="0.630139796214131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'BASIS-X-regneark '!$A$29</c:f>
              <c:strCache>
                <c:ptCount val="1"/>
                <c:pt idx="0">
                  <c:v>   standard-el fra nettet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'!$C$29:$H$29</c:f>
              <c:numCache>
                <c:formatCode>0</c:formatCode>
                <c:ptCount val="6"/>
                <c:pt idx="0">
                  <c:v>954.8</c:v>
                </c:pt>
                <c:pt idx="1">
                  <c:v>944.29708222811666</c:v>
                </c:pt>
                <c:pt idx="2">
                  <c:v>915.56728232189971</c:v>
                </c:pt>
                <c:pt idx="3">
                  <c:v>594.24083769633512</c:v>
                </c:pt>
                <c:pt idx="4">
                  <c:v>589.97361477572565</c:v>
                </c:pt>
                <c:pt idx="5">
                  <c:v>530.60686015831129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F-455F-BEFF-FD8DB6F3F896}"/>
            </c:ext>
          </c:extLst>
        </c:ser>
        <c:ser>
          <c:idx val="1"/>
          <c:order val="1"/>
          <c:tx>
            <c:strRef>
              <c:f>'BASIS-X-regneark '!$A$30</c:f>
              <c:strCache>
                <c:ptCount val="1"/>
                <c:pt idx="0">
                  <c:v>   Alternativ elforsyning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'!$C$30:$H$30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F-455F-BEFF-FD8DB6F3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913856"/>
        <c:axId val="137915392"/>
      </c:barChart>
      <c:catAx>
        <c:axId val="137913856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91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9153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kWh</a:t>
                </a:r>
              </a:p>
            </c:rich>
          </c:tx>
          <c:layout>
            <c:manualLayout>
              <c:xMode val="edge"/>
              <c:yMode val="edge"/>
              <c:x val="1.6835016835016835E-2"/>
              <c:y val="0.415527031723774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91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707424198237848E-2"/>
          <c:y val="0.89498100408681791"/>
          <c:w val="0.91246074038724956"/>
          <c:h val="9.13246803053727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Vandforbrug pr. person</a:t>
            </a:r>
          </a:p>
        </c:rich>
      </c:tx>
      <c:layout>
        <c:manualLayout>
          <c:xMode val="edge"/>
          <c:yMode val="edge"/>
          <c:x val="0.36486486486486486"/>
          <c:y val="4.109589041095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16216216216217"/>
          <c:y val="0.1415531426278121"/>
          <c:w val="0.82432432432432434"/>
          <c:h val="0.630139796214131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'BASIS-X-regneark '!$A$37</c:f>
              <c:strCache>
                <c:ptCount val="1"/>
                <c:pt idx="0">
                  <c:v>   vandværksvand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'!$C$37:$H$37</c:f>
              <c:numCache>
                <c:formatCode>#,##0</c:formatCode>
                <c:ptCount val="6"/>
                <c:pt idx="0">
                  <c:v>31.946666666666665</c:v>
                </c:pt>
                <c:pt idx="1">
                  <c:v>30.344827586206897</c:v>
                </c:pt>
                <c:pt idx="2">
                  <c:v>31.767810026385224</c:v>
                </c:pt>
                <c:pt idx="3">
                  <c:v>31.465968586387433</c:v>
                </c:pt>
                <c:pt idx="4">
                  <c:v>30.606860158311346</c:v>
                </c:pt>
                <c:pt idx="5">
                  <c:v>31.002638522427439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5-4D65-ABCA-A859B6A9A3B3}"/>
            </c:ext>
          </c:extLst>
        </c:ser>
        <c:ser>
          <c:idx val="1"/>
          <c:order val="1"/>
          <c:tx>
            <c:strRef>
              <c:f>'BASIS-X-regneark '!$A$38</c:f>
              <c:strCache>
                <c:ptCount val="1"/>
                <c:pt idx="0">
                  <c:v>   alternativ vandforsynng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'!$C$38:$H$38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5-4D65-ABCA-A859B6A9A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036160"/>
        <c:axId val="137037696"/>
      </c:barChart>
      <c:catAx>
        <c:axId val="137036160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03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037696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a-DK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da-DK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891891891891893E-2"/>
              <c:y val="0.41096082167811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036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945945945945943E-2"/>
          <c:y val="0.87671616390416951"/>
          <c:w val="0.91554054054054057"/>
          <c:h val="9.13246803053727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Affald pr. person</a:t>
            </a:r>
          </a:p>
        </c:rich>
      </c:tx>
      <c:layout>
        <c:manualLayout>
          <c:xMode val="edge"/>
          <c:yMode val="edge"/>
          <c:x val="0.42905405405405406"/>
          <c:y val="0.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70270270270271"/>
          <c:y val="0.15000033291977299"/>
          <c:w val="0.78378378378378377"/>
          <c:h val="0.627274119482687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'BASIS-X-regneark '!$A$50</c:f>
              <c:strCache>
                <c:ptCount val="1"/>
                <c:pt idx="0">
                  <c:v>   restaffald og storskrald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'!$C$50:$H$50</c:f>
              <c:numCache>
                <c:formatCode>#,##0</c:formatCode>
                <c:ptCount val="6"/>
                <c:pt idx="0">
                  <c:v>353.06666666666661</c:v>
                </c:pt>
                <c:pt idx="1">
                  <c:v>358.35543766578246</c:v>
                </c:pt>
                <c:pt idx="2">
                  <c:v>336.67546174142484</c:v>
                </c:pt>
                <c:pt idx="3">
                  <c:v>339.37172774869111</c:v>
                </c:pt>
                <c:pt idx="4">
                  <c:v>323.74670184696566</c:v>
                </c:pt>
                <c:pt idx="5">
                  <c:v>312.66490765171505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F-4E8D-9221-07C3898F220D}"/>
            </c:ext>
          </c:extLst>
        </c:ser>
        <c:ser>
          <c:idx val="1"/>
          <c:order val="1"/>
          <c:tx>
            <c:strRef>
              <c:f>'BASIS-X-regneark '!$A$51</c:f>
              <c:strCache>
                <c:ptCount val="1"/>
                <c:pt idx="0">
                  <c:v>   genbrug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'!$C$51:$H$51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F-4E8D-9221-07C3898F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075712"/>
        <c:axId val="137081600"/>
      </c:barChart>
      <c:catAx>
        <c:axId val="137075712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08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08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kg</a:t>
                </a:r>
              </a:p>
            </c:rich>
          </c:tx>
          <c:layout>
            <c:manualLayout>
              <c:xMode val="edge"/>
              <c:yMode val="edge"/>
              <c:x val="1.6891891891891893E-2"/>
              <c:y val="0.413637318062514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075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567567567567569"/>
          <c:y val="0.89091099976139343"/>
          <c:w val="0.77027027027027029"/>
          <c:h val="9.545454545454545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</a:t>
            </a:r>
            <a:r>
              <a:rPr lang="da-DK" sz="8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-udslip pr. person</a:t>
            </a:r>
          </a:p>
        </c:rich>
      </c:tx>
      <c:layout>
        <c:manualLayout>
          <c:xMode val="edge"/>
          <c:yMode val="edge"/>
          <c:x val="0.40540540540540543"/>
          <c:y val="5.4545454545454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16216216216217"/>
          <c:y val="0.15454579755370551"/>
          <c:w val="0.82094594594594594"/>
          <c:h val="0.61818319021482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'BASIS-X-regneark '!$A$59</c:f>
              <c:strCache>
                <c:ptCount val="1"/>
                <c:pt idx="0">
                  <c:v>   ved varme-produktion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'!$C$59:$H$59</c:f>
              <c:numCache>
                <c:formatCode>0.0</c:formatCode>
                <c:ptCount val="6"/>
                <c:pt idx="0">
                  <c:v>0.23962175999999999</c:v>
                </c:pt>
                <c:pt idx="1">
                  <c:v>0.2022932625994695</c:v>
                </c:pt>
                <c:pt idx="2">
                  <c:v>0.20776122427440635</c:v>
                </c:pt>
                <c:pt idx="3">
                  <c:v>0.18053886910994763</c:v>
                </c:pt>
                <c:pt idx="4">
                  <c:v>0.18607440633245381</c:v>
                </c:pt>
                <c:pt idx="5">
                  <c:v>0.17709150395778367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A20-4AE8-8BA0-8A67ADBFDA01}"/>
            </c:ext>
          </c:extLst>
        </c:ser>
        <c:ser>
          <c:idx val="1"/>
          <c:order val="1"/>
          <c:tx>
            <c:strRef>
              <c:f>'BASIS-X-regneark '!$A$60</c:f>
              <c:strCache>
                <c:ptCount val="1"/>
                <c:pt idx="0">
                  <c:v>   ved el-produktion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'!$C$60:$H$60</c:f>
              <c:numCache>
                <c:formatCode>0.0</c:formatCode>
                <c:ptCount val="6"/>
                <c:pt idx="0">
                  <c:v>0.11935</c:v>
                </c:pt>
                <c:pt idx="1">
                  <c:v>0.12842440318302387</c:v>
                </c:pt>
                <c:pt idx="2">
                  <c:v>0.11353034300791556</c:v>
                </c:pt>
                <c:pt idx="3">
                  <c:v>5.7047120418848171E-2</c:v>
                </c:pt>
                <c:pt idx="4">
                  <c:v>3.7168337730870714E-2</c:v>
                </c:pt>
                <c:pt idx="5">
                  <c:v>2.9183377308707122E-2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0-4AE8-8BA0-8A67ADBF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442048"/>
        <c:axId val="139443584"/>
      </c:barChart>
      <c:catAx>
        <c:axId val="139442048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944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44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ton</a:t>
                </a:r>
              </a:p>
            </c:rich>
          </c:tx>
          <c:layout>
            <c:manualLayout>
              <c:xMode val="edge"/>
              <c:yMode val="edge"/>
              <c:x val="1.6891891891891893E-2"/>
              <c:y val="0.41818277260796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944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972972972972971E-2"/>
          <c:y val="0.87727463612502976"/>
          <c:w val="0.875"/>
          <c:h val="9.09090909090909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>
      <c:oddFooter>&amp;LBASIS 1.5  1999&amp;RGrønt rengskab for boligområder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Varmeforbrug pr. person</a:t>
            </a:r>
          </a:p>
        </c:rich>
      </c:tx>
      <c:layout>
        <c:manualLayout>
          <c:xMode val="edge"/>
          <c:yMode val="edge"/>
          <c:x val="0.38047279443604903"/>
          <c:y val="5.4054526967912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70039284633135"/>
          <c:y val="0.14864930254655187"/>
          <c:w val="0.76885624290386245"/>
          <c:h val="0.621624356103762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'BASIS-regneark'!$A$27</c:f>
              <c:strCache>
                <c:ptCount val="1"/>
                <c:pt idx="0">
                  <c:v>   rumvarme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'BASIS-regneark'!$C$27:$H$27</c:f>
              <c:numCache>
                <c:formatCode>_ * #,##0_ ;_ * \-#,##0_ ;_ * "-"??_ ;_ @_ </c:formatCode>
                <c:ptCount val="6"/>
                <c:pt idx="0">
                  <c:v>3203.7145313843507</c:v>
                </c:pt>
                <c:pt idx="1">
                  <c:v>2830.5316305316305</c:v>
                </c:pt>
                <c:pt idx="2">
                  <c:v>3230.7241278217525</c:v>
                </c:pt>
                <c:pt idx="3">
                  <c:v>2925.2455156603369</c:v>
                </c:pt>
                <c:pt idx="4">
                  <c:v>3232.4466116097351</c:v>
                </c:pt>
                <c:pt idx="5">
                  <c:v>3174.8670485460784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9-4F68-B44F-F02B70403511}"/>
            </c:ext>
          </c:extLst>
        </c:ser>
        <c:ser>
          <c:idx val="1"/>
          <c:order val="1"/>
          <c:tx>
            <c:strRef>
              <c:f>'BASIS-regneark'!$A$28</c:f>
              <c:strCache>
                <c:ptCount val="1"/>
                <c:pt idx="0">
                  <c:v>   varmt vand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'BASIS-regneark'!$C$28:$H$28</c:f>
              <c:numCache>
                <c:formatCode>_ * #,##0_ ;_ * \-#,##0_ ;_ * "-"??_ ;_ @_ </c:formatCode>
                <c:ptCount val="6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9-4F68-B44F-F02B7040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24768"/>
        <c:axId val="136226304"/>
      </c:barChart>
      <c:catAx>
        <c:axId val="136224768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2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26304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24768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08488206650935"/>
          <c:y val="0.89640017970726638"/>
          <c:w val="0.60606272700760888"/>
          <c:h val="9.00905630039487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Restaffald pr. person</a:t>
            </a:r>
          </a:p>
        </c:rich>
      </c:tx>
      <c:layout>
        <c:manualLayout>
          <c:xMode val="edge"/>
          <c:yMode val="edge"/>
          <c:x val="0.40067481463806925"/>
          <c:y val="4.9773755656108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919822968694"/>
          <c:y val="0.14932126696832579"/>
          <c:w val="0.77441332075087055"/>
          <c:h val="0.619909502262443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'BASIS-regneark'!$A$56</c:f>
              <c:strCache>
                <c:ptCount val="1"/>
                <c:pt idx="0">
                  <c:v>   ved dagrenovation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'BASIS-regneark'!$C$56:$H$56</c:f>
              <c:numCache>
                <c:formatCode>0</c:formatCode>
                <c:ptCount val="6"/>
                <c:pt idx="0">
                  <c:v>308.26666666666665</c:v>
                </c:pt>
                <c:pt idx="1">
                  <c:v>312.9973474801061</c:v>
                </c:pt>
                <c:pt idx="2">
                  <c:v>282.32189973614777</c:v>
                </c:pt>
                <c:pt idx="3">
                  <c:v>285.34031413612564</c:v>
                </c:pt>
                <c:pt idx="4">
                  <c:v>261.2137203166227</c:v>
                </c:pt>
                <c:pt idx="5">
                  <c:v>250.65963060686016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5-45D7-9DD8-3ECB943C88F0}"/>
            </c:ext>
          </c:extLst>
        </c:ser>
        <c:ser>
          <c:idx val="1"/>
          <c:order val="1"/>
          <c:tx>
            <c:strRef>
              <c:f>'BASIS-regneark'!$A$57</c:f>
              <c:strCache>
                <c:ptCount val="1"/>
                <c:pt idx="0">
                  <c:v>   ved storskrald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'BASIS-regneark'!$C$57:$H$57</c:f>
              <c:numCache>
                <c:formatCode>0</c:formatCode>
                <c:ptCount val="6"/>
                <c:pt idx="0">
                  <c:v>44.79999999999999</c:v>
                </c:pt>
                <c:pt idx="1">
                  <c:v>45.358090185676396</c:v>
                </c:pt>
                <c:pt idx="2">
                  <c:v>54.353562005277048</c:v>
                </c:pt>
                <c:pt idx="3">
                  <c:v>54.031413612565444</c:v>
                </c:pt>
                <c:pt idx="4">
                  <c:v>62.532981530343008</c:v>
                </c:pt>
                <c:pt idx="5">
                  <c:v>62.005277044854878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5-45D7-9DD8-3ECB943C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944832"/>
        <c:axId val="135946624"/>
      </c:barChart>
      <c:catAx>
        <c:axId val="135944832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594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5946624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kg</a:t>
                </a:r>
              </a:p>
            </c:rich>
          </c:tx>
          <c:layout>
            <c:manualLayout>
              <c:xMode val="edge"/>
              <c:yMode val="edge"/>
              <c:x val="1.6835016835016835E-2"/>
              <c:y val="0.416289592760181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594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91989890152619"/>
          <c:y val="0.90497737556561086"/>
          <c:w val="0.75421122864692425"/>
          <c:h val="8.14479638009050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</a:t>
            </a:r>
            <a:r>
              <a:rPr lang="da-DK" sz="8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pr. person</a:t>
            </a:r>
          </a:p>
        </c:rich>
      </c:tx>
      <c:layout>
        <c:manualLayout>
          <c:xMode val="edge"/>
          <c:yMode val="edge"/>
          <c:x val="0.46128087524412986"/>
          <c:y val="4.5662100456621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41846625607444"/>
          <c:y val="0.14611937303516087"/>
          <c:w val="0.7911422953318954"/>
          <c:h val="0.621007335399433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'BASIS-regneark'!$A$64</c:f>
              <c:strCache>
                <c:ptCount val="1"/>
                <c:pt idx="0">
                  <c:v>   ved varme-produktion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'BASIS-regneark'!$C$64:$H$64</c:f>
              <c:numCache>
                <c:formatCode>0</c:formatCode>
                <c:ptCount val="6"/>
                <c:pt idx="0">
                  <c:v>239.62175999999999</c:v>
                </c:pt>
                <c:pt idx="1">
                  <c:v>202.2932625994695</c:v>
                </c:pt>
                <c:pt idx="2">
                  <c:v>207.76122427440635</c:v>
                </c:pt>
                <c:pt idx="3">
                  <c:v>180.53886910994763</c:v>
                </c:pt>
                <c:pt idx="4">
                  <c:v>186.0744063324538</c:v>
                </c:pt>
                <c:pt idx="5">
                  <c:v>177.09150395778366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6-4E7D-8BEF-A6707380F869}"/>
            </c:ext>
          </c:extLst>
        </c:ser>
        <c:ser>
          <c:idx val="1"/>
          <c:order val="1"/>
          <c:tx>
            <c:strRef>
              <c:f>'BASIS-regneark'!$A$65</c:f>
              <c:strCache>
                <c:ptCount val="1"/>
                <c:pt idx="0">
                  <c:v>   ved el-produktion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'BASIS-regneark'!$C$65:$H$65</c:f>
              <c:numCache>
                <c:formatCode>0</c:formatCode>
                <c:ptCount val="6"/>
                <c:pt idx="0">
                  <c:v>119.35</c:v>
                </c:pt>
                <c:pt idx="1">
                  <c:v>128.42440318302386</c:v>
                </c:pt>
                <c:pt idx="2">
                  <c:v>113.53034300791556</c:v>
                </c:pt>
                <c:pt idx="3">
                  <c:v>57.047120418848174</c:v>
                </c:pt>
                <c:pt idx="4">
                  <c:v>37.168337730870711</c:v>
                </c:pt>
                <c:pt idx="5">
                  <c:v>29.183377308707122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6-4E7D-8BEF-A6707380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59072"/>
        <c:axId val="136260608"/>
      </c:barChart>
      <c:catAx>
        <c:axId val="136259072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6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60608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kg</a:t>
                </a:r>
              </a:p>
            </c:rich>
          </c:tx>
          <c:layout>
            <c:manualLayout>
              <c:xMode val="edge"/>
              <c:yMode val="edge"/>
              <c:x val="1.6835016835016835E-2"/>
              <c:y val="0.420093241769436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59072"/>
        <c:crosses val="autoZero"/>
        <c:crossBetween val="between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973417464231117E-2"/>
          <c:y val="0.86758374381284531"/>
          <c:w val="0.87879070671721593"/>
          <c:h val="9.5890890351034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Vandforbrug pr. person</a:t>
            </a:r>
          </a:p>
        </c:rich>
      </c:tx>
      <c:layout>
        <c:manualLayout>
          <c:xMode val="edge"/>
          <c:yMode val="edge"/>
          <c:x val="0.36824324324324326"/>
          <c:y val="0.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54054054054054"/>
          <c:y val="0.15454579755370551"/>
          <c:w val="0.81190195242039032"/>
          <c:h val="0.613637725580889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'BASIS-regneark'!$A$46</c:f>
              <c:strCache>
                <c:ptCount val="1"/>
                <c:pt idx="0">
                  <c:v>   koldt vand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'BASIS-regneark'!$C$46:$H$46</c:f>
              <c:numCache>
                <c:formatCode>0</c:formatCode>
                <c:ptCount val="6"/>
                <c:pt idx="0">
                  <c:v>16.310303030303029</c:v>
                </c:pt>
                <c:pt idx="1">
                  <c:v>14.70846394984326</c:v>
                </c:pt>
                <c:pt idx="2">
                  <c:v>16.131446390021587</c:v>
                </c:pt>
                <c:pt idx="3">
                  <c:v>15.829604950023798</c:v>
                </c:pt>
                <c:pt idx="4">
                  <c:v>14.970496521947709</c:v>
                </c:pt>
                <c:pt idx="5">
                  <c:v>15.366274886063804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0-428F-9500-746C5EF49448}"/>
            </c:ext>
          </c:extLst>
        </c:ser>
        <c:ser>
          <c:idx val="1"/>
          <c:order val="1"/>
          <c:tx>
            <c:strRef>
              <c:f>'BASIS-regneark'!$A$47</c:f>
              <c:strCache>
                <c:ptCount val="1"/>
                <c:pt idx="0">
                  <c:v>   varmt vand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'BASIS-regneark'!$C$47:$H$47</c:f>
              <c:numCache>
                <c:formatCode>0</c:formatCode>
                <c:ptCount val="6"/>
                <c:pt idx="0">
                  <c:v>15.636363636363637</c:v>
                </c:pt>
                <c:pt idx="1">
                  <c:v>15.636363636363637</c:v>
                </c:pt>
                <c:pt idx="2">
                  <c:v>15.636363636363637</c:v>
                </c:pt>
                <c:pt idx="3">
                  <c:v>15.636363636363637</c:v>
                </c:pt>
                <c:pt idx="4">
                  <c:v>15.636363636363637</c:v>
                </c:pt>
                <c:pt idx="5">
                  <c:v>15.636363636363637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0-428F-9500-746C5EF49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94784"/>
        <c:axId val="136296320"/>
      </c:barChart>
      <c:catAx>
        <c:axId val="136294784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9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96320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a-DK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da-DK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891891891891893E-2"/>
              <c:y val="0.40000095442615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297297297297297"/>
          <c:y val="0.90454736339775699"/>
          <c:w val="0.67567567567567566"/>
          <c:h val="8.181818181818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Elforbrug pr. person</a:t>
            </a:r>
            <a:endParaRPr lang="da-DK" baseline="30000"/>
          </a:p>
        </c:rich>
      </c:tx>
      <c:layout>
        <c:manualLayout>
          <c:xMode val="edge"/>
          <c:yMode val="edge"/>
          <c:x val="0.40939667776427274"/>
          <c:y val="5.4298642533936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34261178463811"/>
          <c:y val="0.15384615384615385"/>
          <c:w val="0.76510192478162486"/>
          <c:h val="0.61538461538461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'BASIS-regneark'!$A$36</c:f>
              <c:strCache>
                <c:ptCount val="1"/>
                <c:pt idx="0">
                  <c:v>   privat elforbrug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'BASIS-regneark'!$C$36:$H$36</c:f>
              <c:numCache>
                <c:formatCode>0</c:formatCode>
                <c:ptCount val="6"/>
                <c:pt idx="0">
                  <c:v>213.46666666666667</c:v>
                </c:pt>
                <c:pt idx="1">
                  <c:v>214.85411140583554</c:v>
                </c:pt>
                <c:pt idx="2">
                  <c:v>203.16622691292875</c:v>
                </c:pt>
                <c:pt idx="3">
                  <c:v>198.95287958115182</c:v>
                </c:pt>
                <c:pt idx="4">
                  <c:v>199.47229551451187</c:v>
                </c:pt>
                <c:pt idx="5">
                  <c:v>198.15303430079155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9-496E-95B3-210B1A94BA54}"/>
            </c:ext>
          </c:extLst>
        </c:ser>
        <c:ser>
          <c:idx val="1"/>
          <c:order val="1"/>
          <c:tx>
            <c:strRef>
              <c:f>'BASIS-regneark'!$A$37</c:f>
              <c:strCache>
                <c:ptCount val="1"/>
                <c:pt idx="0">
                  <c:v>   fælles elforbrug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'BASIS-regneark'!$C$37:$H$37</c:f>
              <c:numCache>
                <c:formatCode>0</c:formatCode>
                <c:ptCount val="6"/>
                <c:pt idx="0">
                  <c:v>741.33333333333337</c:v>
                </c:pt>
                <c:pt idx="1">
                  <c:v>729.44297082228115</c:v>
                </c:pt>
                <c:pt idx="2">
                  <c:v>712.40105540897093</c:v>
                </c:pt>
                <c:pt idx="3">
                  <c:v>395.28795811518324</c:v>
                </c:pt>
                <c:pt idx="4">
                  <c:v>390.50131926121372</c:v>
                </c:pt>
                <c:pt idx="5">
                  <c:v>332.4538258575198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9-496E-95B3-210B1A94B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313856"/>
        <c:axId val="136594176"/>
      </c:barChart>
      <c:catAx>
        <c:axId val="136313856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59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594176"/>
        <c:scaling>
          <c:orientation val="minMax"/>
          <c:max val="1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kWh</a:t>
                </a:r>
              </a:p>
            </c:rich>
          </c:tx>
          <c:layout>
            <c:manualLayout>
              <c:xMode val="edge"/>
              <c:yMode val="edge"/>
              <c:x val="3.6206658378229038E-3"/>
              <c:y val="0.416289713872754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31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107417780831085"/>
          <c:y val="0.9095022624434389"/>
          <c:w val="0.77852489915270651"/>
          <c:h val="7.69230769230768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</a:t>
            </a:r>
            <a:r>
              <a:rPr lang="da-DK" sz="8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pr. m</a:t>
            </a:r>
            <a:r>
              <a:rPr lang="da-DK" sz="8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c:rich>
      </c:tx>
      <c:layout>
        <c:manualLayout>
          <c:xMode val="edge"/>
          <c:yMode val="edge"/>
          <c:x val="0.46128087524412986"/>
          <c:y val="4.5662100456621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8187796545522"/>
          <c:y val="0.14611937303516087"/>
          <c:w val="0.78674177326857431"/>
          <c:h val="0.621007335399433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'BASIS-regneark'!$A$67</c:f>
              <c:strCache>
                <c:ptCount val="1"/>
                <c:pt idx="0">
                  <c:v>   ved varme-produktion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'BASIS-regneark'!$C$67:$H$67</c:f>
              <c:numCache>
                <c:formatCode>0.0</c:formatCode>
                <c:ptCount val="6"/>
                <c:pt idx="0">
                  <c:v>6.03074899328859</c:v>
                </c:pt>
                <c:pt idx="1">
                  <c:v>5.1184268456375843</c:v>
                </c:pt>
                <c:pt idx="2">
                  <c:v>5.2846646979865781</c:v>
                </c:pt>
                <c:pt idx="3">
                  <c:v>4.6285804026845634</c:v>
                </c:pt>
                <c:pt idx="4">
                  <c:v>4.7330335570469799</c:v>
                </c:pt>
                <c:pt idx="5">
                  <c:v>4.5045422818791945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9-444F-9D4E-5BD716BF0835}"/>
            </c:ext>
          </c:extLst>
        </c:ser>
        <c:ser>
          <c:idx val="1"/>
          <c:order val="1"/>
          <c:tx>
            <c:strRef>
              <c:f>'BASIS-regneark'!$A$68</c:f>
              <c:strCache>
                <c:ptCount val="1"/>
                <c:pt idx="0">
                  <c:v>   ved el-produktion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'BASIS-regneark'!$C$68:$H$68</c:f>
              <c:numCache>
                <c:formatCode>0.0</c:formatCode>
                <c:ptCount val="6"/>
                <c:pt idx="0">
                  <c:v>3.0037751677852351</c:v>
                </c:pt>
                <c:pt idx="1">
                  <c:v>3.2493959731543622</c:v>
                </c:pt>
                <c:pt idx="2">
                  <c:v>2.8877852348993285</c:v>
                </c:pt>
                <c:pt idx="3">
                  <c:v>1.4625503355704699</c:v>
                </c:pt>
                <c:pt idx="4">
                  <c:v>0.94542281879194634</c:v>
                </c:pt>
                <c:pt idx="5">
                  <c:v>0.74231543624161067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9-444F-9D4E-5BD716BF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259072"/>
        <c:axId val="136260608"/>
      </c:barChart>
      <c:catAx>
        <c:axId val="136259072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6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626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kg</a:t>
                </a:r>
              </a:p>
            </c:rich>
          </c:tx>
          <c:layout>
            <c:manualLayout>
              <c:xMode val="edge"/>
              <c:yMode val="edge"/>
              <c:x val="1.6835016835016835E-2"/>
              <c:y val="0.420093241769436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25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97348235286085E-2"/>
          <c:y val="0.87368236053381698"/>
          <c:w val="0.8506347781263548"/>
          <c:h val="0.12021923523129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Elforbrug pr.m</a:t>
            </a:r>
            <a:r>
              <a:rPr lang="da-DK" baseline="30000"/>
              <a:t>2</a:t>
            </a:r>
          </a:p>
        </c:rich>
      </c:tx>
      <c:layout>
        <c:manualLayout>
          <c:xMode val="edge"/>
          <c:yMode val="edge"/>
          <c:x val="0.40939667776427274"/>
          <c:y val="5.4298642533936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34261178463811"/>
          <c:y val="0.15384615384615385"/>
          <c:w val="0.76510192478162486"/>
          <c:h val="0.615384615384615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'BASIS-regneark'!$A$39</c:f>
              <c:strCache>
                <c:ptCount val="1"/>
                <c:pt idx="0">
                  <c:v>  samlet elforbrug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'BASIS-regneark'!$C$8:$H$8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'BASIS-regneark'!$C$40:$H$40</c:f>
              <c:numCache>
                <c:formatCode>0</c:formatCode>
                <c:ptCount val="6"/>
                <c:pt idx="0">
                  <c:v>24.030201342281877</c:v>
                </c:pt>
                <c:pt idx="1">
                  <c:v>23.892617449664428</c:v>
                </c:pt>
                <c:pt idx="2">
                  <c:v>23.288590604026847</c:v>
                </c:pt>
                <c:pt idx="3">
                  <c:v>15.234899328859061</c:v>
                </c:pt>
                <c:pt idx="4">
                  <c:v>15.006711409395972</c:v>
                </c:pt>
                <c:pt idx="5">
                  <c:v>13.496644295302014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8-440D-A11F-9EB6B8A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313856"/>
        <c:axId val="136594176"/>
      </c:barChart>
      <c:catAx>
        <c:axId val="136313856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59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594176"/>
        <c:scaling>
          <c:orientation val="minMax"/>
          <c:max val="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kWh</a:t>
                </a:r>
              </a:p>
            </c:rich>
          </c:tx>
          <c:layout>
            <c:manualLayout>
              <c:xMode val="edge"/>
              <c:yMode val="edge"/>
              <c:x val="3.6206658378229038E-3"/>
              <c:y val="0.416289713872754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631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107417780831085"/>
          <c:y val="0.9095022624434389"/>
          <c:w val="0.77852489915270651"/>
          <c:h val="7.69230769230768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Varmeforbrug pr. 100 m</a:t>
            </a:r>
            <a:r>
              <a:rPr lang="da-DK" sz="8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c:rich>
      </c:tx>
      <c:layout>
        <c:manualLayout>
          <c:xMode val="edge"/>
          <c:yMode val="edge"/>
          <c:x val="0.37627189821611279"/>
          <c:y val="5.1162790697674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83082268078436"/>
          <c:y val="0.15348837209302327"/>
          <c:w val="0.79661148803543436"/>
          <c:h val="0.62325581395348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'BASIS-X-regneark '!$A$19</c:f>
              <c:strCache>
                <c:ptCount val="1"/>
                <c:pt idx="0">
                  <c:v>   fossile brændsler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'!$C$19:$H$19</c:f>
              <c:numCache>
                <c:formatCode>#,##0.0</c:formatCode>
                <c:ptCount val="6"/>
                <c:pt idx="0">
                  <c:v>105.79818451470682</c:v>
                </c:pt>
                <c:pt idx="1">
                  <c:v>96.92016273224327</c:v>
                </c:pt>
                <c:pt idx="2">
                  <c:v>107.61372110365399</c:v>
                </c:pt>
                <c:pt idx="3">
                  <c:v>100.63381120686232</c:v>
                </c:pt>
                <c:pt idx="4">
                  <c:v>107.65753461745568</c:v>
                </c:pt>
                <c:pt idx="5">
                  <c:v>106.19292693952777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E-48F7-A807-29B303B55A1C}"/>
            </c:ext>
          </c:extLst>
        </c:ser>
        <c:ser>
          <c:idx val="1"/>
          <c:order val="1"/>
          <c:tx>
            <c:strRef>
              <c:f>'BASIS-X-regneark '!$A$20</c:f>
              <c:strCache>
                <c:ptCount val="1"/>
                <c:pt idx="0">
                  <c:v>   vedvarende energi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'BASIS-X-regneark '!$C$7:$H$7</c:f>
              <c:numCache>
                <c:formatCode>#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'BASIS-X-regneark '!$C$20:$H$20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E-48F7-A807-29B303B5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46272"/>
        <c:axId val="133047808"/>
      </c:barChart>
      <c:catAx>
        <c:axId val="133046272"/>
        <c:scaling>
          <c:orientation val="minMax"/>
        </c:scaling>
        <c:delete val="0"/>
        <c:axPos val="b"/>
        <c:numFmt formatCode="#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304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3047808"/>
        <c:scaling>
          <c:orientation val="minMax"/>
          <c:max val="1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kWh</a:t>
                </a:r>
              </a:p>
            </c:rich>
          </c:tx>
          <c:layout>
            <c:manualLayout>
              <c:xMode val="edge"/>
              <c:yMode val="edge"/>
              <c:x val="3.6893896550224039E-3"/>
              <c:y val="0.45519012867294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3046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81391520975133"/>
          <c:y val="0.89302325581395348"/>
          <c:w val="0.82373023711019178"/>
          <c:h val="9.30232558139535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10" dropStyle="combo" dx="15" fmlaLink="$D$15" fmlaRange="'CO2-fjernvarme'!$C$7:$C$104" noThreeD="1" sel="1" val="0"/>
</file>

<file path=xl/ctrlProps/ctrlProp10.xml><?xml version="1.0" encoding="utf-8"?>
<formControlPr xmlns="http://schemas.microsoft.com/office/spreadsheetml/2009/9/main" objectType="Drop" dropLines="6" dropStyle="combo" dx="15" fmlaLink="I12" fmlaRange="'Graddage mv.'!$B$7:$B$25" noThreeD="1" sel="8" val="6"/>
</file>

<file path=xl/ctrlProps/ctrlProp11.xml><?xml version="1.0" encoding="utf-8"?>
<formControlPr xmlns="http://schemas.microsoft.com/office/spreadsheetml/2009/9/main" objectType="Drop" dropLines="9" dropStyle="combo" dx="15" fmlaLink="$I$18" fmlaRange="'Graddage mv.'!$V$10:$V$15" noThreeD="1" sel="3" val="0"/>
</file>

<file path=xl/ctrlProps/ctrlProp2.xml><?xml version="1.0" encoding="utf-8"?>
<formControlPr xmlns="http://schemas.microsoft.com/office/spreadsheetml/2009/9/main" objectType="Drop" dropLines="10" dropStyle="combo" dx="15" fmlaLink="$D$33" fmlaRange="'Graddage mv.'!$B$7:$B$25" noThreeD="1" sel="3" val="2"/>
</file>

<file path=xl/ctrlProps/ctrlProp3.xml><?xml version="1.0" encoding="utf-8"?>
<formControlPr xmlns="http://schemas.microsoft.com/office/spreadsheetml/2009/9/main" objectType="Drop" dropLines="10" dropStyle="combo" dx="15" fmlaLink="$E$33" fmlaRange="'Graddage mv.'!$B$7:$B$25" noThreeD="1" sel="4" val="2"/>
</file>

<file path=xl/ctrlProps/ctrlProp4.xml><?xml version="1.0" encoding="utf-8"?>
<formControlPr xmlns="http://schemas.microsoft.com/office/spreadsheetml/2009/9/main" objectType="Drop" dropLines="10" dropStyle="combo" dx="15" fmlaLink="F$33" fmlaRange="'Graddage mv.'!$B$7:$B$25" noThreeD="1" sel="5" val="3"/>
</file>

<file path=xl/ctrlProps/ctrlProp5.xml><?xml version="1.0" encoding="utf-8"?>
<formControlPr xmlns="http://schemas.microsoft.com/office/spreadsheetml/2009/9/main" objectType="Drop" dropLines="10" dropStyle="combo" dx="15" fmlaLink="G$33" fmlaRange="'Graddage mv.'!$B$7:$B$25" noThreeD="1" sel="6" val="4"/>
</file>

<file path=xl/ctrlProps/ctrlProp6.xml><?xml version="1.0" encoding="utf-8"?>
<formControlPr xmlns="http://schemas.microsoft.com/office/spreadsheetml/2009/9/main" objectType="Drop" dropLines="10" dropStyle="combo" dx="15" fmlaLink="H$33" fmlaRange="'Graddage mv.'!$B$7:$B$25" noThreeD="1" sel="7" val="5"/>
</file>

<file path=xl/ctrlProps/ctrlProp7.xml><?xml version="1.0" encoding="utf-8"?>
<formControlPr xmlns="http://schemas.microsoft.com/office/spreadsheetml/2009/9/main" objectType="Drop" dropLines="10" dropStyle="combo" dx="15" fmlaLink="I$33" fmlaRange="'Graddage mv.'!$B$7:$B$25" noThreeD="1" sel="8" val="4"/>
</file>

<file path=xl/ctrlProps/ctrlProp8.xml><?xml version="1.0" encoding="utf-8"?>
<formControlPr xmlns="http://schemas.microsoft.com/office/spreadsheetml/2009/9/main" objectType="Drop" dropStyle="combo" dx="15" fmlaLink="Indtastningsark!I16" fmlaRange="'Graddage mv.'!$V$18:$V$24" sel="1" val="0"/>
</file>

<file path=xl/ctrlProps/ctrlProp9.xml><?xml version="1.0" encoding="utf-8"?>
<formControlPr xmlns="http://schemas.microsoft.com/office/spreadsheetml/2009/9/main" objectType="Drop" dropStyle="combo" dx="15" fmlaLink="Indtastningsark!$I$14" fmlaRange="'Graddage mv.'!$V$6:$V$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114300</xdr:rowOff>
    </xdr:from>
    <xdr:to>
      <xdr:col>9</xdr:col>
      <xdr:colOff>247651</xdr:colOff>
      <xdr:row>61</xdr:row>
      <xdr:rowOff>114300</xdr:rowOff>
    </xdr:to>
    <xdr:sp macro="" textlink="">
      <xdr:nvSpPr>
        <xdr:cNvPr id="430289" name="Rectangle 3">
          <a:extLst>
            <a:ext uri="{FF2B5EF4-FFF2-40B4-BE49-F238E27FC236}">
              <a16:creationId xmlns:a16="http://schemas.microsoft.com/office/drawing/2014/main" id="{00000000-0008-0000-0000-0000D1900600}"/>
            </a:ext>
          </a:extLst>
        </xdr:cNvPr>
        <xdr:cNvSpPr>
          <a:spLocks noChangeArrowheads="1"/>
        </xdr:cNvSpPr>
      </xdr:nvSpPr>
      <xdr:spPr bwMode="auto">
        <a:xfrm>
          <a:off x="9525" y="5448300"/>
          <a:ext cx="7369176" cy="5035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581025</xdr:colOff>
      <xdr:row>3</xdr:row>
      <xdr:rowOff>104775</xdr:rowOff>
    </xdr:from>
    <xdr:to>
      <xdr:col>5</xdr:col>
      <xdr:colOff>657225</xdr:colOff>
      <xdr:row>4</xdr:row>
      <xdr:rowOff>76200</xdr:rowOff>
    </xdr:to>
    <xdr:sp macro="" textlink="">
      <xdr:nvSpPr>
        <xdr:cNvPr id="430291" name="Tekst 8">
          <a:extLst>
            <a:ext uri="{FF2B5EF4-FFF2-40B4-BE49-F238E27FC236}">
              <a16:creationId xmlns:a16="http://schemas.microsoft.com/office/drawing/2014/main" id="{00000000-0008-0000-0000-0000D3900600}"/>
            </a:ext>
          </a:extLst>
        </xdr:cNvPr>
        <xdr:cNvSpPr txBox="1">
          <a:spLocks noChangeArrowheads="1"/>
        </xdr:cNvSpPr>
      </xdr:nvSpPr>
      <xdr:spPr bwMode="auto">
        <a:xfrm>
          <a:off x="4419600" y="1276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55</xdr:row>
      <xdr:rowOff>0</xdr:rowOff>
    </xdr:from>
    <xdr:to>
      <xdr:col>2</xdr:col>
      <xdr:colOff>546734</xdr:colOff>
      <xdr:row>56</xdr:row>
      <xdr:rowOff>30040</xdr:rowOff>
    </xdr:to>
    <xdr:sp macro="" textlink="">
      <xdr:nvSpPr>
        <xdr:cNvPr id="430292" name="Tekst 21">
          <a:extLst>
            <a:ext uri="{FF2B5EF4-FFF2-40B4-BE49-F238E27FC236}">
              <a16:creationId xmlns:a16="http://schemas.microsoft.com/office/drawing/2014/main" id="{00000000-0008-0000-0000-0000D4900600}"/>
            </a:ext>
          </a:extLst>
        </xdr:cNvPr>
        <xdr:cNvSpPr txBox="1">
          <a:spLocks noChangeArrowheads="1"/>
        </xdr:cNvSpPr>
      </xdr:nvSpPr>
      <xdr:spPr bwMode="auto">
        <a:xfrm>
          <a:off x="7667625" y="9296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152400</xdr:rowOff>
        </xdr:from>
        <xdr:to>
          <xdr:col>6</xdr:col>
          <xdr:colOff>0</xdr:colOff>
          <xdr:row>15</xdr:row>
          <xdr:rowOff>15240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63</xdr:row>
      <xdr:rowOff>0</xdr:rowOff>
    </xdr:from>
    <xdr:to>
      <xdr:col>9</xdr:col>
      <xdr:colOff>9525</xdr:colOff>
      <xdr:row>67</xdr:row>
      <xdr:rowOff>0</xdr:rowOff>
    </xdr:to>
    <xdr:sp macro="" textlink="">
      <xdr:nvSpPr>
        <xdr:cNvPr id="1075" name="Tekst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04775" y="10629900"/>
          <a:ext cx="6638925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Efter endt indtastning vil det grønne regnskab umiddelbart fremgå af det efterfølgende BASIS-regneark. De tilhørende diagrammer findes på arket: BASIS-diagrammer. Ved brug af vedvarende energikilder, natur-strøm, regnvand til toiletter mv. samt ved kilde-sortering af affald til genbrug bringes også Indtastningsark-X i anvendelse. Se herefter BASIS-X-diagrammer, hvor alternative bidrag bliver vist med grønt.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7620</xdr:colOff>
          <xdr:row>34</xdr:row>
          <xdr:rowOff>22860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32</xdr:row>
          <xdr:rowOff>152400</xdr:rowOff>
        </xdr:from>
        <xdr:to>
          <xdr:col>5</xdr:col>
          <xdr:colOff>7620</xdr:colOff>
          <xdr:row>34</xdr:row>
          <xdr:rowOff>30480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152400</xdr:rowOff>
        </xdr:from>
        <xdr:to>
          <xdr:col>6</xdr:col>
          <xdr:colOff>0</xdr:colOff>
          <xdr:row>34</xdr:row>
          <xdr:rowOff>30480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32</xdr:row>
          <xdr:rowOff>152400</xdr:rowOff>
        </xdr:from>
        <xdr:to>
          <xdr:col>7</xdr:col>
          <xdr:colOff>22860</xdr:colOff>
          <xdr:row>34</xdr:row>
          <xdr:rowOff>30480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152400</xdr:rowOff>
        </xdr:from>
        <xdr:to>
          <xdr:col>7</xdr:col>
          <xdr:colOff>899160</xdr:colOff>
          <xdr:row>34</xdr:row>
          <xdr:rowOff>30480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137160</xdr:rowOff>
        </xdr:from>
        <xdr:to>
          <xdr:col>9</xdr:col>
          <xdr:colOff>7620</xdr:colOff>
          <xdr:row>34</xdr:row>
          <xdr:rowOff>15240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502920</xdr:colOff>
          <xdr:row>15</xdr:row>
          <xdr:rowOff>60960</xdr:rowOff>
        </xdr:from>
        <xdr:to>
          <xdr:col>9</xdr:col>
          <xdr:colOff>198120</xdr:colOff>
          <xdr:row>16</xdr:row>
          <xdr:rowOff>152400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13</xdr:row>
          <xdr:rowOff>137160</xdr:rowOff>
        </xdr:from>
        <xdr:to>
          <xdr:col>9</xdr:col>
          <xdr:colOff>175260</xdr:colOff>
          <xdr:row>15</xdr:row>
          <xdr:rowOff>7620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11</xdr:row>
          <xdr:rowOff>91440</xdr:rowOff>
        </xdr:from>
        <xdr:to>
          <xdr:col>9</xdr:col>
          <xdr:colOff>175260</xdr:colOff>
          <xdr:row>13</xdr:row>
          <xdr:rowOff>7620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17</xdr:row>
          <xdr:rowOff>106680</xdr:rowOff>
        </xdr:from>
        <xdr:to>
          <xdr:col>9</xdr:col>
          <xdr:colOff>190500</xdr:colOff>
          <xdr:row>19</xdr:row>
          <xdr:rowOff>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228600</xdr:colOff>
      <xdr:row>0</xdr:row>
      <xdr:rowOff>0</xdr:rowOff>
    </xdr:from>
    <xdr:to>
      <xdr:col>10</xdr:col>
      <xdr:colOff>6992</xdr:colOff>
      <xdr:row>1</xdr:row>
      <xdr:rowOff>283313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0"/>
          <a:ext cx="807092" cy="588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214516</xdr:colOff>
      <xdr:row>0</xdr:row>
      <xdr:rowOff>14654</xdr:rowOff>
    </xdr:from>
    <xdr:to>
      <xdr:col>8</xdr:col>
      <xdr:colOff>4061</xdr:colOff>
      <xdr:row>1</xdr:row>
      <xdr:rowOff>131884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4862" y="14654"/>
          <a:ext cx="844622" cy="615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152400</xdr:rowOff>
    </xdr:from>
    <xdr:to>
      <xdr:col>5</xdr:col>
      <xdr:colOff>514350</xdr:colOff>
      <xdr:row>18</xdr:row>
      <xdr:rowOff>0</xdr:rowOff>
    </xdr:to>
    <xdr:graphicFrame macro="">
      <xdr:nvGraphicFramePr>
        <xdr:cNvPr id="3353" name="Diagram 13">
          <a:extLst>
            <a:ext uri="{FF2B5EF4-FFF2-40B4-BE49-F238E27FC236}">
              <a16:creationId xmlns:a16="http://schemas.microsoft.com/office/drawing/2014/main" id="{00000000-0008-0000-0200-00001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4</xdr:row>
      <xdr:rowOff>152400</xdr:rowOff>
    </xdr:from>
    <xdr:to>
      <xdr:col>11</xdr:col>
      <xdr:colOff>0</xdr:colOff>
      <xdr:row>18</xdr:row>
      <xdr:rowOff>0</xdr:rowOff>
    </xdr:to>
    <xdr:graphicFrame macro="">
      <xdr:nvGraphicFramePr>
        <xdr:cNvPr id="3354" name="Diagram 15">
          <a:extLst>
            <a:ext uri="{FF2B5EF4-FFF2-40B4-BE49-F238E27FC236}">
              <a16:creationId xmlns:a16="http://schemas.microsoft.com/office/drawing/2014/main" id="{00000000-0008-0000-0200-00001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3175</xdr:colOff>
      <xdr:row>33</xdr:row>
      <xdr:rowOff>0</xdr:rowOff>
    </xdr:from>
    <xdr:to>
      <xdr:col>5</xdr:col>
      <xdr:colOff>508000</xdr:colOff>
      <xdr:row>46</xdr:row>
      <xdr:rowOff>0</xdr:rowOff>
    </xdr:to>
    <xdr:graphicFrame macro="">
      <xdr:nvGraphicFramePr>
        <xdr:cNvPr id="3355" name="Diagram 19">
          <a:extLst>
            <a:ext uri="{FF2B5EF4-FFF2-40B4-BE49-F238E27FC236}">
              <a16:creationId xmlns:a16="http://schemas.microsoft.com/office/drawing/2014/main" id="{00000000-0008-0000-0200-00001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98425</xdr:colOff>
      <xdr:row>47</xdr:row>
      <xdr:rowOff>9525</xdr:rowOff>
    </xdr:from>
    <xdr:to>
      <xdr:col>11</xdr:col>
      <xdr:colOff>0</xdr:colOff>
      <xdr:row>60</xdr:row>
      <xdr:rowOff>0</xdr:rowOff>
    </xdr:to>
    <xdr:graphicFrame macro="">
      <xdr:nvGraphicFramePr>
        <xdr:cNvPr id="3356" name="Diagram 20">
          <a:extLst>
            <a:ext uri="{FF2B5EF4-FFF2-40B4-BE49-F238E27FC236}">
              <a16:creationId xmlns:a16="http://schemas.microsoft.com/office/drawing/2014/main" id="{00000000-0008-0000-0200-00001C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82550</xdr:colOff>
      <xdr:row>33</xdr:row>
      <xdr:rowOff>6350</xdr:rowOff>
    </xdr:from>
    <xdr:to>
      <xdr:col>10</xdr:col>
      <xdr:colOff>577850</xdr:colOff>
      <xdr:row>45</xdr:row>
      <xdr:rowOff>158750</xdr:rowOff>
    </xdr:to>
    <xdr:graphicFrame macro="">
      <xdr:nvGraphicFramePr>
        <xdr:cNvPr id="3357" name="Diagram 22">
          <a:extLst>
            <a:ext uri="{FF2B5EF4-FFF2-40B4-BE49-F238E27FC236}">
              <a16:creationId xmlns:a16="http://schemas.microsoft.com/office/drawing/2014/main" id="{00000000-0008-0000-0200-00001D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88900</xdr:colOff>
      <xdr:row>19</xdr:row>
      <xdr:rowOff>0</xdr:rowOff>
    </xdr:from>
    <xdr:to>
      <xdr:col>11</xdr:col>
      <xdr:colOff>6350</xdr:colOff>
      <xdr:row>32</xdr:row>
      <xdr:rowOff>0</xdr:rowOff>
    </xdr:to>
    <xdr:graphicFrame macro="">
      <xdr:nvGraphicFramePr>
        <xdr:cNvPr id="3358" name="Diagram 26">
          <a:extLst>
            <a:ext uri="{FF2B5EF4-FFF2-40B4-BE49-F238E27FC236}">
              <a16:creationId xmlns:a16="http://schemas.microsoft.com/office/drawing/2014/main" id="{00000000-0008-0000-0200-00001E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467589</xdr:colOff>
      <xdr:row>0</xdr:row>
      <xdr:rowOff>0</xdr:rowOff>
    </xdr:from>
    <xdr:to>
      <xdr:col>11</xdr:col>
      <xdr:colOff>63</xdr:colOff>
      <xdr:row>1</xdr:row>
      <xdr:rowOff>210416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08862" y="0"/>
          <a:ext cx="692792" cy="504825"/>
        </a:xfrm>
        <a:prstGeom prst="rect">
          <a:avLst/>
        </a:prstGeom>
      </xdr:spPr>
    </xdr:pic>
    <xdr:clientData/>
  </xdr:twoCellAnchor>
  <xdr:twoCellAnchor>
    <xdr:from>
      <xdr:col>1</xdr:col>
      <xdr:colOff>5195</xdr:colOff>
      <xdr:row>47</xdr:row>
      <xdr:rowOff>5773</xdr:rowOff>
    </xdr:from>
    <xdr:to>
      <xdr:col>5</xdr:col>
      <xdr:colOff>510020</xdr:colOff>
      <xdr:row>59</xdr:row>
      <xdr:rowOff>152112</xdr:rowOff>
    </xdr:to>
    <xdr:graphicFrame macro="">
      <xdr:nvGraphicFramePr>
        <xdr:cNvPr id="2" name="Diagram 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158750</xdr:rowOff>
    </xdr:from>
    <xdr:to>
      <xdr:col>5</xdr:col>
      <xdr:colOff>514350</xdr:colOff>
      <xdr:row>31</xdr:row>
      <xdr:rowOff>158750</xdr:rowOff>
    </xdr:to>
    <xdr:graphicFrame macro="">
      <xdr:nvGraphicFramePr>
        <xdr:cNvPr id="3" name="Diagram 26">
          <a:extLst>
            <a:ext uri="{FF2B5EF4-FFF2-40B4-BE49-F238E27FC236}">
              <a16:creationId xmlns:a16="http://schemas.microsoft.com/office/drawing/2014/main" id="{7F66D7F5-752C-4C82-BA6E-3BCC9E41C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3</xdr:row>
      <xdr:rowOff>0</xdr:rowOff>
    </xdr:from>
    <xdr:to>
      <xdr:col>5</xdr:col>
      <xdr:colOff>295275</xdr:colOff>
      <xdr:row>3</xdr:row>
      <xdr:rowOff>200025</xdr:rowOff>
    </xdr:to>
    <xdr:sp macro="" textlink="">
      <xdr:nvSpPr>
        <xdr:cNvPr id="4558" name="Tekst 7">
          <a:extLst>
            <a:ext uri="{FF2B5EF4-FFF2-40B4-BE49-F238E27FC236}">
              <a16:creationId xmlns:a16="http://schemas.microsoft.com/office/drawing/2014/main" id="{00000000-0008-0000-0300-0000CE110000}"/>
            </a:ext>
          </a:extLst>
        </xdr:cNvPr>
        <xdr:cNvSpPr txBox="1">
          <a:spLocks noChangeArrowheads="1"/>
        </xdr:cNvSpPr>
      </xdr:nvSpPr>
      <xdr:spPr bwMode="auto">
        <a:xfrm>
          <a:off x="3781425" y="69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44</xdr:row>
      <xdr:rowOff>57150</xdr:rowOff>
    </xdr:from>
    <xdr:to>
      <xdr:col>9</xdr:col>
      <xdr:colOff>95250</xdr:colOff>
      <xdr:row>47</xdr:row>
      <xdr:rowOff>95250</xdr:rowOff>
    </xdr:to>
    <xdr:sp macro="" textlink="">
      <xdr:nvSpPr>
        <xdr:cNvPr id="4117" name="Tekst 21">
          <a:extLst>
            <a:ext uri="{FF2B5EF4-FFF2-40B4-BE49-F238E27FC236}">
              <a16:creationId xmlns:a16="http://schemas.microsoft.com/office/drawing/2014/main" id="{00000000-0008-0000-0300-000015100000}"/>
            </a:ext>
          </a:extLst>
        </xdr:cNvPr>
        <xdr:cNvSpPr txBox="1">
          <a:spLocks noChangeArrowheads="1"/>
        </xdr:cNvSpPr>
      </xdr:nvSpPr>
      <xdr:spPr bwMode="auto">
        <a:xfrm>
          <a:off x="28575" y="8873490"/>
          <a:ext cx="6924675" cy="541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Efter endt indtastning vil det grønne regnskab, som det fremstår i BASIS-regnearket, blive korrigeret i overensstemmelse med de supplerende oplysninger. I BASIS-X-regnearket beregnes andelen af alternativ forsyning samt genbrug. De tilhørende diagrammer vises i arket BASIS-X-disgrammer</a:t>
          </a:r>
        </a:p>
      </xdr:txBody>
    </xdr:sp>
    <xdr:clientData/>
  </xdr:twoCellAnchor>
  <xdr:twoCellAnchor>
    <xdr:from>
      <xdr:col>0</xdr:col>
      <xdr:colOff>13335</xdr:colOff>
      <xdr:row>47</xdr:row>
      <xdr:rowOff>91440</xdr:rowOff>
    </xdr:from>
    <xdr:to>
      <xdr:col>9</xdr:col>
      <xdr:colOff>70485</xdr:colOff>
      <xdr:row>50</xdr:row>
      <xdr:rowOff>91440</xdr:rowOff>
    </xdr:to>
    <xdr:sp macro="" textlink="">
      <xdr:nvSpPr>
        <xdr:cNvPr id="4118" name="Tekst 22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ChangeArrowheads="1"/>
        </xdr:cNvSpPr>
      </xdr:nvSpPr>
      <xdr:spPr bwMode="auto">
        <a:xfrm>
          <a:off x="13335" y="9410700"/>
          <a:ext cx="6915150" cy="502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PS! Varme, el og vand produceret ved egne forsyningskilder tæller med i regnskabet på lige fod med forsyning udefra og vil på den måde influere på nøgletallene i opadgående retning. Ved alternativ energiforsyning bliver nøgletallet for CO</a:t>
          </a:r>
          <a:r>
            <a:rPr lang="da-DK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til gengæld lavere. 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4564" name="Rectangle 34">
          <a:extLst>
            <a:ext uri="{FF2B5EF4-FFF2-40B4-BE49-F238E27FC236}">
              <a16:creationId xmlns:a16="http://schemas.microsoft.com/office/drawing/2014/main" id="{00000000-0008-0000-0300-0000D4110000}"/>
            </a:ext>
          </a:extLst>
        </xdr:cNvPr>
        <xdr:cNvSpPr>
          <a:spLocks noChangeArrowheads="1"/>
        </xdr:cNvSpPr>
      </xdr:nvSpPr>
      <xdr:spPr bwMode="auto">
        <a:xfrm>
          <a:off x="0" y="2886075"/>
          <a:ext cx="6800850" cy="4838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632602</xdr:colOff>
      <xdr:row>0</xdr:row>
      <xdr:rowOff>9525</xdr:rowOff>
    </xdr:from>
    <xdr:to>
      <xdr:col>8</xdr:col>
      <xdr:colOff>740417</xdr:colOff>
      <xdr:row>2</xdr:row>
      <xdr:rowOff>47625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7052" y="9525"/>
          <a:ext cx="88886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131884</xdr:colOff>
      <xdr:row>0</xdr:row>
      <xdr:rowOff>29307</xdr:rowOff>
    </xdr:from>
    <xdr:to>
      <xdr:col>7</xdr:col>
      <xdr:colOff>1020749</xdr:colOff>
      <xdr:row>1</xdr:row>
      <xdr:rowOff>193430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3115" y="29307"/>
          <a:ext cx="888865" cy="647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4</xdr:col>
      <xdr:colOff>504825</xdr:colOff>
      <xdr:row>17</xdr:row>
      <xdr:rowOff>152400</xdr:rowOff>
    </xdr:to>
    <xdr:graphicFrame macro="">
      <xdr:nvGraphicFramePr>
        <xdr:cNvPr id="7431" name="Diagram 1025">
          <a:extLst>
            <a:ext uri="{FF2B5EF4-FFF2-40B4-BE49-F238E27FC236}">
              <a16:creationId xmlns:a16="http://schemas.microsoft.com/office/drawing/2014/main" id="{00000000-0008-0000-0500-000007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5</xdr:row>
      <xdr:rowOff>0</xdr:rowOff>
    </xdr:from>
    <xdr:to>
      <xdr:col>9</xdr:col>
      <xdr:colOff>561975</xdr:colOff>
      <xdr:row>18</xdr:row>
      <xdr:rowOff>0</xdr:rowOff>
    </xdr:to>
    <xdr:graphicFrame macro="">
      <xdr:nvGraphicFramePr>
        <xdr:cNvPr id="7432" name="Diagram 1026">
          <a:extLst>
            <a:ext uri="{FF2B5EF4-FFF2-40B4-BE49-F238E27FC236}">
              <a16:creationId xmlns:a16="http://schemas.microsoft.com/office/drawing/2014/main" id="{00000000-0008-0000-0500-000008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9525</xdr:rowOff>
    </xdr:from>
    <xdr:to>
      <xdr:col>4</xdr:col>
      <xdr:colOff>504825</xdr:colOff>
      <xdr:row>32</xdr:row>
      <xdr:rowOff>152400</xdr:rowOff>
    </xdr:to>
    <xdr:graphicFrame macro="">
      <xdr:nvGraphicFramePr>
        <xdr:cNvPr id="7433" name="Diagram 1027">
          <a:extLst>
            <a:ext uri="{FF2B5EF4-FFF2-40B4-BE49-F238E27FC236}">
              <a16:creationId xmlns:a16="http://schemas.microsoft.com/office/drawing/2014/main" id="{00000000-0008-0000-0500-00000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20</xdr:row>
      <xdr:rowOff>9525</xdr:rowOff>
    </xdr:from>
    <xdr:to>
      <xdr:col>9</xdr:col>
      <xdr:colOff>579120</xdr:colOff>
      <xdr:row>32</xdr:row>
      <xdr:rowOff>152400</xdr:rowOff>
    </xdr:to>
    <xdr:graphicFrame macro="">
      <xdr:nvGraphicFramePr>
        <xdr:cNvPr id="7434" name="Diagram 1028">
          <a:extLst>
            <a:ext uri="{FF2B5EF4-FFF2-40B4-BE49-F238E27FC236}">
              <a16:creationId xmlns:a16="http://schemas.microsoft.com/office/drawing/2014/main" id="{00000000-0008-0000-0500-00000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4</xdr:col>
      <xdr:colOff>495300</xdr:colOff>
      <xdr:row>47</xdr:row>
      <xdr:rowOff>152400</xdr:rowOff>
    </xdr:to>
    <xdr:graphicFrame macro="">
      <xdr:nvGraphicFramePr>
        <xdr:cNvPr id="7435" name="Diagram 1029">
          <a:extLst>
            <a:ext uri="{FF2B5EF4-FFF2-40B4-BE49-F238E27FC236}">
              <a16:creationId xmlns:a16="http://schemas.microsoft.com/office/drawing/2014/main" id="{00000000-0008-0000-0500-00000B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85725</xdr:colOff>
      <xdr:row>35</xdr:row>
      <xdr:rowOff>0</xdr:rowOff>
    </xdr:from>
    <xdr:to>
      <xdr:col>9</xdr:col>
      <xdr:colOff>579120</xdr:colOff>
      <xdr:row>47</xdr:row>
      <xdr:rowOff>152400</xdr:rowOff>
    </xdr:to>
    <xdr:graphicFrame macro="">
      <xdr:nvGraphicFramePr>
        <xdr:cNvPr id="7436" name="Diagram 1030">
          <a:extLst>
            <a:ext uri="{FF2B5EF4-FFF2-40B4-BE49-F238E27FC236}">
              <a16:creationId xmlns:a16="http://schemas.microsoft.com/office/drawing/2014/main" id="{00000000-0008-0000-0500-00000C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542925</xdr:colOff>
      <xdr:row>0</xdr:row>
      <xdr:rowOff>0</xdr:rowOff>
    </xdr:from>
    <xdr:to>
      <xdr:col>9</xdr:col>
      <xdr:colOff>578494</xdr:colOff>
      <xdr:row>1</xdr:row>
      <xdr:rowOff>154026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91125" y="0"/>
          <a:ext cx="616594" cy="4493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9</xdr:row>
      <xdr:rowOff>60960</xdr:rowOff>
    </xdr:from>
    <xdr:to>
      <xdr:col>8</xdr:col>
      <xdr:colOff>84245</xdr:colOff>
      <xdr:row>27</xdr:row>
      <xdr:rowOff>256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7D58F05-2CC6-1CF1-653B-4992EC0DF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2019300"/>
          <a:ext cx="4900085" cy="295681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audk-my.sharepoint.com/personal/omj_sbi_aau_dk/Documents/Dokumenter/REGNEARK/Basis%20skoler/Skoler%202025/BASIS%204.1%202025%20Skoler.xlsx" TargetMode="External"/><Relationship Id="rId1" Type="http://schemas.openxmlformats.org/officeDocument/2006/relationships/externalLinkPath" Target="/personal/omj_sbi_aau_dk/Documents/Dokumenter/REGNEARK/Basis%20skoler/Skoler%202025/BASIS%204.1%202025%20Sko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tastningsark"/>
      <sheetName val="BASIS-regneark"/>
      <sheetName val="BASIS-diagrammer"/>
      <sheetName val="Indtastningsark-X"/>
      <sheetName val="BASIS-X-regneark "/>
      <sheetName val="BASIS-X-diagrammer"/>
      <sheetName val="Graddage"/>
      <sheetName val="CO2-el"/>
      <sheetName val="CO2-fjernvarme"/>
    </sheetNames>
    <sheetDataSet>
      <sheetData sheetId="0">
        <row r="16">
          <cell r="D16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teknologisk.dk/energi/492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nerginet.dk/media/mqkpzln2/miljoredegorelsen-2024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sparenergi.dk/sites/default/files/2025-09/El-%20og%20FV-faktorer_v4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P70"/>
  <sheetViews>
    <sheetView showGridLines="0" tabSelected="1" zoomScaleNormal="100" workbookViewId="0">
      <selection activeCell="L27" sqref="L27"/>
    </sheetView>
  </sheetViews>
  <sheetFormatPr defaultColWidth="9.109375" defaultRowHeight="13.2"/>
  <cols>
    <col min="1" max="1" width="1.6640625" style="58" customWidth="1"/>
    <col min="2" max="2" width="11" style="58" customWidth="1"/>
    <col min="3" max="3" width="19.6640625" style="58" customWidth="1"/>
    <col min="4" max="7" width="11.6640625" style="58" customWidth="1"/>
    <col min="8" max="8" width="13.109375" style="58" customWidth="1"/>
    <col min="9" max="9" width="11.6640625" style="58" customWidth="1"/>
    <col min="10" max="10" width="3.6640625" style="58" customWidth="1"/>
    <col min="11" max="11" width="7.5546875" style="58" customWidth="1"/>
    <col min="12" max="12" width="21.33203125" style="58" customWidth="1"/>
    <col min="13" max="16384" width="9.109375" style="58"/>
  </cols>
  <sheetData>
    <row r="1" spans="1:10" ht="24" customHeight="1">
      <c r="A1" s="391" t="str">
        <f>"Grønt Regnskab "&amp;VLOOKUP(I12,'Graddage mv.'!A7:B25,2)</f>
        <v>Grønt Regnskab 2025</v>
      </c>
      <c r="B1" s="68"/>
      <c r="C1" s="71"/>
      <c r="G1" s="111"/>
      <c r="I1" s="88"/>
    </row>
    <row r="2" spans="1:10" ht="45" customHeight="1">
      <c r="A2" s="444" t="str">
        <f>D13</f>
        <v>Klimaparken</v>
      </c>
      <c r="C2" s="130"/>
      <c r="E2" s="130"/>
      <c r="F2" s="130"/>
      <c r="G2" s="91"/>
      <c r="H2" s="91"/>
      <c r="I2" s="91"/>
      <c r="J2" s="112" t="s">
        <v>160</v>
      </c>
    </row>
    <row r="3" spans="1:10" ht="36" customHeight="1">
      <c r="B3" s="113" t="str">
        <f>"Udfyld de hvide felter og erstat eksemplet "&amp; D13</f>
        <v>Udfyld de hvide felter og erstat eksemplet Klimaparken</v>
      </c>
      <c r="C3"/>
      <c r="D3"/>
      <c r="E3" s="33"/>
    </row>
    <row r="4" spans="1:10" ht="18" customHeight="1">
      <c r="B4" s="91" t="s">
        <v>166</v>
      </c>
      <c r="C4"/>
      <c r="D4"/>
      <c r="E4" s="33"/>
    </row>
    <row r="5" spans="1:10" ht="11.25" customHeight="1">
      <c r="B5" s="91" t="s">
        <v>167</v>
      </c>
      <c r="C5"/>
      <c r="D5"/>
      <c r="E5" s="33"/>
    </row>
    <row r="6" spans="1:10" ht="12.75" customHeight="1">
      <c r="A6" s="58" t="s">
        <v>165</v>
      </c>
      <c r="B6" s="256" t="s">
        <v>206</v>
      </c>
      <c r="C6"/>
      <c r="D6"/>
      <c r="E6" s="33"/>
    </row>
    <row r="7" spans="1:10" ht="12.75" customHeight="1">
      <c r="B7" s="256" t="s">
        <v>207</v>
      </c>
      <c r="C7"/>
      <c r="D7"/>
      <c r="E7" s="33"/>
    </row>
    <row r="8" spans="1:10" ht="12.75" customHeight="1">
      <c r="B8" s="256" t="s">
        <v>208</v>
      </c>
      <c r="C8"/>
    </row>
    <row r="9" spans="1:10" ht="12.75" customHeight="1">
      <c r="B9" s="256" t="s">
        <v>209</v>
      </c>
      <c r="C9"/>
    </row>
    <row r="10" spans="1:10" ht="12.75" customHeight="1">
      <c r="B10" s="256" t="s">
        <v>211</v>
      </c>
      <c r="C10"/>
    </row>
    <row r="11" spans="1:10" ht="13.5" customHeight="1">
      <c r="B11" s="91"/>
      <c r="C11"/>
      <c r="I11" s="447"/>
    </row>
    <row r="12" spans="1:10" s="231" customFormat="1" ht="9" customHeight="1" thickBot="1">
      <c r="A12" s="228"/>
      <c r="B12" s="229"/>
      <c r="C12" s="229"/>
      <c r="D12" s="229"/>
      <c r="E12" s="229"/>
      <c r="F12" s="229"/>
      <c r="G12" s="229"/>
      <c r="H12" s="229"/>
      <c r="I12" s="449">
        <v>8</v>
      </c>
      <c r="J12" s="230"/>
    </row>
    <row r="13" spans="1:10" ht="13.8" thickBot="1">
      <c r="A13" s="59"/>
      <c r="B13" s="65" t="s">
        <v>84</v>
      </c>
      <c r="C13" s="60"/>
      <c r="D13" s="453" t="s">
        <v>341</v>
      </c>
      <c r="E13" s="454"/>
      <c r="F13" s="455"/>
      <c r="G13" s="456" t="s">
        <v>220</v>
      </c>
      <c r="H13" s="456"/>
      <c r="I13" s="60">
        <v>7</v>
      </c>
      <c r="J13" s="61"/>
    </row>
    <row r="14" spans="1:10" ht="12.75" customHeight="1">
      <c r="A14" s="59"/>
      <c r="B14" s="60"/>
      <c r="C14" s="60"/>
      <c r="D14" s="60"/>
      <c r="E14" s="60"/>
      <c r="F14" s="60"/>
      <c r="G14" s="60"/>
      <c r="H14" s="60"/>
      <c r="I14" s="255">
        <v>1</v>
      </c>
      <c r="J14" s="61"/>
    </row>
    <row r="15" spans="1:10" ht="13.5" customHeight="1">
      <c r="A15" s="59"/>
      <c r="B15" s="347" t="s">
        <v>221</v>
      </c>
      <c r="C15" s="60"/>
      <c r="D15" s="349">
        <v>1</v>
      </c>
      <c r="E15" s="60"/>
      <c r="F15" s="60"/>
      <c r="G15" s="60"/>
      <c r="H15" s="347" t="s">
        <v>9</v>
      </c>
      <c r="I15" s="60"/>
      <c r="J15" s="61"/>
    </row>
    <row r="16" spans="1:10" ht="10.5" customHeight="1">
      <c r="A16" s="59"/>
      <c r="B16" s="60"/>
      <c r="C16" s="60"/>
      <c r="D16" s="60"/>
      <c r="E16" s="60"/>
      <c r="F16" s="60"/>
      <c r="G16" s="60"/>
      <c r="H16" s="60"/>
      <c r="I16" s="328">
        <v>1</v>
      </c>
      <c r="J16" s="61"/>
    </row>
    <row r="17" spans="1:16" ht="13.5" customHeight="1">
      <c r="A17" s="59"/>
      <c r="B17" s="242" t="s">
        <v>222</v>
      </c>
      <c r="C17" s="347"/>
      <c r="D17" s="252">
        <f>VLOOKUP($D$15,'CO2-fjernvarme'!$B$7:$V$104,I12+2)</f>
        <v>48.636000000000003</v>
      </c>
      <c r="E17" s="60" t="s">
        <v>95</v>
      </c>
      <c r="F17" s="60"/>
      <c r="G17" s="350"/>
      <c r="H17" s="243" t="s">
        <v>11</v>
      </c>
      <c r="I17" s="246"/>
      <c r="J17" s="61"/>
    </row>
    <row r="18" spans="1:16" ht="10.5" customHeight="1">
      <c r="A18" s="59"/>
      <c r="B18" s="60"/>
      <c r="C18" s="247">
        <v>5</v>
      </c>
      <c r="D18" s="60"/>
      <c r="E18" s="60"/>
      <c r="F18" s="60"/>
      <c r="G18" s="60"/>
      <c r="H18" s="60"/>
      <c r="I18" s="255">
        <v>3</v>
      </c>
      <c r="J18" s="61"/>
    </row>
    <row r="19" spans="1:16" ht="13.5" customHeight="1">
      <c r="A19" s="59"/>
      <c r="B19" s="60"/>
      <c r="C19" s="67"/>
      <c r="D19" s="67"/>
      <c r="E19" s="60"/>
      <c r="F19" s="60"/>
      <c r="G19" s="457" t="s">
        <v>182</v>
      </c>
      <c r="H19" s="458"/>
      <c r="I19" s="60"/>
      <c r="J19" s="61"/>
    </row>
    <row r="20" spans="1:16" ht="9" customHeight="1">
      <c r="A20" s="62"/>
      <c r="B20" s="63"/>
      <c r="C20" s="63"/>
      <c r="D20" s="63"/>
      <c r="E20" s="63"/>
      <c r="F20" s="63"/>
      <c r="G20" s="63"/>
      <c r="H20" s="63"/>
      <c r="I20" s="63"/>
      <c r="J20" s="64"/>
    </row>
    <row r="21" spans="1:16" ht="27" customHeight="1">
      <c r="B21" s="256" t="s">
        <v>7</v>
      </c>
    </row>
    <row r="22" spans="1:16" ht="11.25" customHeight="1">
      <c r="B22" s="91" t="s">
        <v>171</v>
      </c>
      <c r="N22" s="58" t="s">
        <v>165</v>
      </c>
    </row>
    <row r="23" spans="1:16" ht="12.75" customHeight="1">
      <c r="B23" s="58" t="s">
        <v>172</v>
      </c>
    </row>
    <row r="24" spans="1:16" ht="12.75" customHeight="1">
      <c r="B24" s="256" t="s">
        <v>212</v>
      </c>
      <c r="L24" s="95"/>
      <c r="P24" s="58" t="s">
        <v>165</v>
      </c>
    </row>
    <row r="25" spans="1:16" ht="12.75" customHeight="1">
      <c r="B25" s="256" t="s">
        <v>181</v>
      </c>
      <c r="M25" s="192"/>
    </row>
    <row r="26" spans="1:16" ht="12.75" customHeight="1">
      <c r="B26" s="256" t="s">
        <v>213</v>
      </c>
    </row>
    <row r="27" spans="1:16" ht="12.75" customHeight="1">
      <c r="B27" s="256" t="s">
        <v>227</v>
      </c>
    </row>
    <row r="28" spans="1:16" ht="12.75" customHeight="1">
      <c r="B28" s="256" t="s">
        <v>226</v>
      </c>
      <c r="H28" s="135"/>
      <c r="L28" s="256"/>
    </row>
    <row r="29" spans="1:16" ht="12.75" customHeight="1">
      <c r="B29" s="256" t="s">
        <v>214</v>
      </c>
      <c r="H29" s="135"/>
    </row>
    <row r="30" spans="1:16" ht="9.75" customHeight="1"/>
    <row r="31" spans="1:16" ht="7.5" customHeight="1" thickBot="1">
      <c r="A31" s="60"/>
      <c r="B31" s="60"/>
      <c r="C31" s="60"/>
      <c r="D31" s="60"/>
      <c r="E31" s="60"/>
      <c r="F31" s="60"/>
      <c r="G31" s="60"/>
      <c r="H31" s="60"/>
      <c r="I31" s="60"/>
      <c r="J31" s="60"/>
    </row>
    <row r="32" spans="1:16" ht="14.25" customHeight="1" thickBot="1">
      <c r="A32" s="60"/>
      <c r="B32" s="331">
        <f>VLOOKUP(I14,'Graddage mv.'!U6:W7,3)</f>
        <v>2552</v>
      </c>
      <c r="C32" s="129" t="s">
        <v>156</v>
      </c>
      <c r="D32" s="275"/>
      <c r="E32" s="276"/>
      <c r="F32" s="276"/>
      <c r="G32" s="276"/>
      <c r="H32" s="276"/>
      <c r="I32" s="277"/>
      <c r="J32" s="60"/>
      <c r="L32" s="113"/>
    </row>
    <row r="33" spans="1:13" s="447" customFormat="1" ht="12.75" customHeight="1" thickBot="1">
      <c r="A33" s="445"/>
      <c r="B33" s="445"/>
      <c r="C33" s="445"/>
      <c r="D33" s="446">
        <v>3</v>
      </c>
      <c r="E33" s="446">
        <v>4</v>
      </c>
      <c r="F33" s="446">
        <v>5</v>
      </c>
      <c r="G33" s="446">
        <v>6</v>
      </c>
      <c r="H33" s="446">
        <v>7</v>
      </c>
      <c r="I33" s="446">
        <v>8</v>
      </c>
      <c r="J33" s="445"/>
      <c r="M33" s="448"/>
    </row>
    <row r="34" spans="1:13" s="238" customFormat="1" ht="12.75" customHeight="1">
      <c r="A34" s="237"/>
      <c r="B34" s="242" t="s">
        <v>21</v>
      </c>
      <c r="C34" s="239"/>
      <c r="D34" s="278">
        <f>VLOOKUP(D$33,'Graddage mv.'!$A$6:$B$25,2)</f>
        <v>2020</v>
      </c>
      <c r="E34" s="279">
        <f>VLOOKUP(E$33,'Graddage mv.'!$A$7:$B$25,2)</f>
        <v>2021</v>
      </c>
      <c r="F34" s="279">
        <f>VLOOKUP(F$33,'Graddage mv.'!$A$7:$B$25,2)</f>
        <v>2022</v>
      </c>
      <c r="G34" s="279">
        <f>VLOOKUP(G$33,'Graddage mv.'!$A$7:$B$25,2)</f>
        <v>2023</v>
      </c>
      <c r="H34" s="279">
        <f>VLOOKUP(H$33,'Graddage mv.'!$A$7:$B$25,2)</f>
        <v>2024</v>
      </c>
      <c r="I34" s="280">
        <f>VLOOKUP(I$33,'Graddage mv.'!$A$7:$B$25,2)</f>
        <v>2025</v>
      </c>
      <c r="J34" s="240"/>
      <c r="K34" s="241"/>
    </row>
    <row r="35" spans="1:13" s="241" customFormat="1" ht="15.75" customHeight="1">
      <c r="A35" s="239"/>
      <c r="B35" s="200" t="str">
        <f>"Graddagetal (normal "&amp;B32&amp;")"</f>
        <v>Graddagetal (normal 2552)</v>
      </c>
      <c r="C35" s="60"/>
      <c r="D35" s="281">
        <f>VLOOKUP(D33,'Graddage mv.'!$A$7:$O$25,$I$14+14)</f>
        <v>2326</v>
      </c>
      <c r="E35" s="134">
        <f>VLOOKUP(E33,'Graddage mv.'!$A$7:$O$25,$I$14+14)</f>
        <v>2590</v>
      </c>
      <c r="F35" s="134">
        <f>VLOOKUP(F33,'Graddage mv.'!$A$7:$O$25,$I$14+14)</f>
        <v>2178</v>
      </c>
      <c r="G35" s="134">
        <f>VLOOKUP(G33,'Graddage mv.'!$A$6:$P$25,$I$14+14)</f>
        <v>2366</v>
      </c>
      <c r="H35" s="134">
        <f>VLOOKUP(H33,'Graddage mv.'!$A$6:$P$25,$I$14+14)</f>
        <v>2231</v>
      </c>
      <c r="I35" s="282">
        <f>VLOOKUP(I33,'Graddage mv.'!$A$6:$P$25,$I$14+14)</f>
        <v>2123</v>
      </c>
      <c r="J35" s="60"/>
      <c r="K35" s="91"/>
    </row>
    <row r="36" spans="1:13" ht="14.25" customHeight="1">
      <c r="A36" s="60"/>
      <c r="B36" s="60" t="s">
        <v>192</v>
      </c>
      <c r="C36" s="67"/>
      <c r="D36" s="351">
        <f>VLOOKUP($D$15,'CO2-fjernvarme'!$B$7:$V$104,D33+2,FALSE)</f>
        <v>61.128</v>
      </c>
      <c r="E36" s="351">
        <f>VLOOKUP($D$15,'CO2-fjernvarme'!$B$7:$V$104,E33+2,FALSE)</f>
        <v>52.235999999999997</v>
      </c>
      <c r="F36" s="351">
        <f>VLOOKUP($D$15,'CO2-fjernvarme'!$B$7:$V$104,F33+2,FALSE)</f>
        <v>55.295999999999999</v>
      </c>
      <c r="G36" s="351">
        <f>VLOOKUP($D$15,'CO2-fjernvarme'!$B$7:$V$104,G33+2,FALSE)</f>
        <v>48.636000000000003</v>
      </c>
      <c r="H36" s="351">
        <f>VLOOKUP($D$15,'CO2-fjernvarme'!$B$7:$V$104,H33+2,FALSE)</f>
        <v>48.636000000000003</v>
      </c>
      <c r="I36" s="351">
        <f>VLOOKUP($D$15,'CO2-fjernvarme'!$B$7:$V$104,I33+2,FALSE)</f>
        <v>48.636000000000003</v>
      </c>
      <c r="J36" s="60"/>
    </row>
    <row r="37" spans="1:13" ht="14.25" customHeight="1" thickBot="1">
      <c r="A37" s="60"/>
      <c r="B37" s="242" t="s">
        <v>187</v>
      </c>
      <c r="C37" s="67"/>
      <c r="D37" s="283">
        <f>HLOOKUP(D33,'CO2-el'!$B$4:$R$6,3,FALSE)</f>
        <v>125</v>
      </c>
      <c r="E37" s="352">
        <f>HLOOKUP(E33,'CO2-el'!$B$4:$R$6,3,FALSE)</f>
        <v>136</v>
      </c>
      <c r="F37" s="352">
        <f>HLOOKUP(F33,'CO2-el'!$B$4:$R$6,3,FALSE)</f>
        <v>124</v>
      </c>
      <c r="G37" s="352">
        <f>HLOOKUP(G33,'CO2-el'!$B$4:$R$6,3,FALSE)</f>
        <v>96</v>
      </c>
      <c r="H37" s="352">
        <f>HLOOKUP(H33,'CO2-el'!$B$4:$R$6,3,FALSE)</f>
        <v>63</v>
      </c>
      <c r="I37" s="353">
        <f>HLOOKUP(I33,'CO2-el'!$B$4:$R$6,3,FALSE)</f>
        <v>55</v>
      </c>
      <c r="J37" s="60"/>
      <c r="L37" s="256"/>
    </row>
    <row r="38" spans="1:13" s="248" customFormat="1" ht="14.25" customHeight="1" thickBot="1">
      <c r="A38" s="247"/>
      <c r="B38" s="249"/>
      <c r="C38" s="250"/>
      <c r="D38" s="263"/>
      <c r="E38" s="263"/>
      <c r="F38" s="263"/>
      <c r="G38" s="263"/>
      <c r="H38" s="263"/>
      <c r="I38" s="263"/>
      <c r="J38" s="249"/>
      <c r="K38" s="251"/>
    </row>
    <row r="39" spans="1:13" s="226" customFormat="1" ht="13.95" customHeight="1">
      <c r="A39" s="225"/>
      <c r="B39" s="65" t="s">
        <v>114</v>
      </c>
      <c r="C39" s="60"/>
      <c r="D39" s="354">
        <v>14900</v>
      </c>
      <c r="E39" s="284">
        <v>14900</v>
      </c>
      <c r="F39" s="284">
        <v>14900</v>
      </c>
      <c r="G39" s="284">
        <v>14900</v>
      </c>
      <c r="H39" s="284">
        <v>14900</v>
      </c>
      <c r="I39" s="355">
        <v>14900</v>
      </c>
      <c r="J39" s="60"/>
      <c r="K39" s="58"/>
    </row>
    <row r="40" spans="1:13" ht="12.75" customHeight="1" thickBot="1">
      <c r="A40" s="60"/>
      <c r="B40" s="65" t="s">
        <v>22</v>
      </c>
      <c r="C40" s="60"/>
      <c r="D40" s="356">
        <v>375</v>
      </c>
      <c r="E40" s="285">
        <v>377</v>
      </c>
      <c r="F40" s="285">
        <v>379</v>
      </c>
      <c r="G40" s="285">
        <v>382</v>
      </c>
      <c r="H40" s="286">
        <v>379</v>
      </c>
      <c r="I40" s="286">
        <v>379</v>
      </c>
      <c r="J40" s="60"/>
    </row>
    <row r="41" spans="1:13" ht="12.75" customHeight="1" thickBot="1">
      <c r="A41" s="60"/>
      <c r="B41" s="66"/>
      <c r="C41" s="66"/>
      <c r="D41" s="72"/>
      <c r="E41" s="72"/>
      <c r="F41" s="72"/>
      <c r="G41" s="72"/>
      <c r="H41" s="72"/>
      <c r="I41" s="72"/>
      <c r="J41" s="60"/>
    </row>
    <row r="42" spans="1:13" ht="6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3" ht="12.75" customHeight="1" thickBot="1">
      <c r="A43" s="60"/>
      <c r="B43" s="65" t="s">
        <v>23</v>
      </c>
      <c r="C43" s="60"/>
      <c r="D43" s="60"/>
      <c r="E43" s="60"/>
      <c r="F43" s="60"/>
      <c r="G43" s="60"/>
      <c r="H43" s="60"/>
      <c r="I43" s="60"/>
      <c r="J43" s="60"/>
    </row>
    <row r="44" spans="1:13">
      <c r="A44" s="60"/>
      <c r="B44" s="60" t="s">
        <v>24</v>
      </c>
      <c r="C44" s="60"/>
      <c r="D44" s="357">
        <v>1470</v>
      </c>
      <c r="E44" s="268">
        <v>1460</v>
      </c>
      <c r="F44" s="268">
        <v>1424</v>
      </c>
      <c r="G44" s="269">
        <v>1418</v>
      </c>
      <c r="H44" s="269">
        <v>1450</v>
      </c>
      <c r="I44" s="269">
        <v>1380</v>
      </c>
      <c r="J44" s="60"/>
    </row>
    <row r="45" spans="1:13">
      <c r="A45" s="60"/>
      <c r="B45" s="60" t="s">
        <v>121</v>
      </c>
      <c r="C45" s="60"/>
      <c r="D45" s="270"/>
      <c r="E45" s="152"/>
      <c r="F45" s="152"/>
      <c r="G45" s="152"/>
      <c r="H45" s="152"/>
      <c r="I45" s="271"/>
      <c r="J45" s="60"/>
    </row>
    <row r="46" spans="1:13" ht="13.2" customHeight="1">
      <c r="A46" s="60"/>
      <c r="B46" s="60" t="s">
        <v>96</v>
      </c>
      <c r="C46" s="60"/>
      <c r="D46" s="270"/>
      <c r="E46" s="152"/>
      <c r="F46" s="152"/>
      <c r="G46" s="152"/>
      <c r="H46" s="152"/>
      <c r="I46" s="271"/>
      <c r="J46" s="60"/>
    </row>
    <row r="47" spans="1:13">
      <c r="A47" s="60"/>
      <c r="B47" s="60" t="s">
        <v>176</v>
      </c>
      <c r="C47" s="60"/>
      <c r="D47" s="270"/>
      <c r="E47" s="152"/>
      <c r="F47" s="152"/>
      <c r="G47" s="152"/>
      <c r="H47" s="152"/>
      <c r="I47" s="271"/>
      <c r="J47" s="60"/>
    </row>
    <row r="48" spans="1:13" ht="13.8" thickBot="1">
      <c r="A48" s="60"/>
      <c r="B48" s="60" t="s">
        <v>175</v>
      </c>
      <c r="C48" s="60"/>
      <c r="D48" s="272"/>
      <c r="E48" s="273"/>
      <c r="F48" s="273"/>
      <c r="G48" s="273"/>
      <c r="H48" s="273"/>
      <c r="I48" s="274"/>
      <c r="J48" s="60"/>
    </row>
    <row r="49" spans="1:16" ht="13.8" thickBot="1">
      <c r="A49" s="60"/>
      <c r="B49" s="60"/>
      <c r="C49" s="60"/>
      <c r="D49" s="131"/>
      <c r="E49" s="131"/>
      <c r="F49" s="131"/>
      <c r="G49" s="131"/>
      <c r="H49" s="131"/>
      <c r="I49" s="131"/>
      <c r="J49" s="60"/>
    </row>
    <row r="50" spans="1:16" ht="12.75" customHeight="1" thickBot="1">
      <c r="A50" s="60"/>
      <c r="B50" s="60" t="s">
        <v>161</v>
      </c>
      <c r="C50" s="60"/>
      <c r="D50" s="358"/>
      <c r="E50" s="287"/>
      <c r="F50" s="287"/>
      <c r="G50" s="288"/>
      <c r="H50" s="288"/>
      <c r="I50" s="288"/>
      <c r="J50" s="60"/>
    </row>
    <row r="51" spans="1:16" ht="20.25" customHeight="1" thickBot="1">
      <c r="A51" s="60"/>
      <c r="B51" s="65" t="s">
        <v>25</v>
      </c>
      <c r="C51" s="60"/>
      <c r="D51" s="153"/>
      <c r="E51" s="153"/>
      <c r="F51" s="153"/>
      <c r="G51" s="153"/>
      <c r="H51" s="153"/>
      <c r="I51" s="153"/>
      <c r="J51" s="60"/>
    </row>
    <row r="52" spans="1:16" ht="12" customHeight="1">
      <c r="A52" s="60"/>
      <c r="B52" s="60" t="s">
        <v>169</v>
      </c>
      <c r="C52" s="60"/>
      <c r="D52" s="336">
        <v>80050</v>
      </c>
      <c r="E52" s="289">
        <v>81000</v>
      </c>
      <c r="F52" s="289">
        <v>77000</v>
      </c>
      <c r="G52" s="289">
        <v>76000</v>
      </c>
      <c r="H52" s="289">
        <v>75600</v>
      </c>
      <c r="I52" s="290">
        <v>75100</v>
      </c>
      <c r="J52" s="60"/>
    </row>
    <row r="53" spans="1:16" ht="12" customHeight="1" thickBot="1">
      <c r="A53" s="60"/>
      <c r="B53" s="60" t="s">
        <v>168</v>
      </c>
      <c r="C53" s="60"/>
      <c r="D53" s="337">
        <v>278000</v>
      </c>
      <c r="E53" s="291">
        <v>275000</v>
      </c>
      <c r="F53" s="291">
        <v>270000</v>
      </c>
      <c r="G53" s="291">
        <v>151000</v>
      </c>
      <c r="H53" s="291">
        <v>148000</v>
      </c>
      <c r="I53" s="292">
        <v>126000</v>
      </c>
      <c r="J53" s="60"/>
      <c r="K53" s="253"/>
    </row>
    <row r="54" spans="1:16" ht="13.8" thickBot="1">
      <c r="A54" s="60"/>
      <c r="B54" s="242" t="s">
        <v>228</v>
      </c>
      <c r="C54" s="60"/>
      <c r="D54" s="450">
        <f>'Indtastningsark-X'!D31*1000</f>
        <v>0</v>
      </c>
      <c r="E54" s="451">
        <f>'Indtastningsark-X'!E31*1000</f>
        <v>0</v>
      </c>
      <c r="F54" s="451">
        <f>'Indtastningsark-X'!F31*1000</f>
        <v>0</v>
      </c>
      <c r="G54" s="451">
        <f>'Indtastningsark-X'!G31*1000</f>
        <v>0</v>
      </c>
      <c r="H54" s="451">
        <f>'Indtastningsark-X'!H31*1000</f>
        <v>0</v>
      </c>
      <c r="I54" s="452">
        <f>'Indtastningsark-X'!I31*1000</f>
        <v>0</v>
      </c>
      <c r="J54" s="60"/>
      <c r="K54" s="253"/>
      <c r="L54" s="253"/>
      <c r="M54" s="253"/>
      <c r="N54" s="253"/>
      <c r="O54" s="253"/>
      <c r="P54" s="253"/>
    </row>
    <row r="55" spans="1:16" ht="19.5" customHeight="1" thickBot="1">
      <c r="A55" s="60"/>
      <c r="B55" s="65" t="s">
        <v>26</v>
      </c>
      <c r="C55" s="60"/>
      <c r="D55" s="153"/>
      <c r="E55" s="153"/>
      <c r="F55" s="153"/>
      <c r="G55" s="153"/>
      <c r="H55" s="153"/>
      <c r="I55" s="153"/>
      <c r="J55" s="60"/>
      <c r="L55" s="253"/>
      <c r="M55" s="253"/>
      <c r="N55" s="253"/>
      <c r="O55" s="253"/>
      <c r="P55" s="253"/>
    </row>
    <row r="56" spans="1:16" ht="13.2" customHeight="1">
      <c r="A56" s="60"/>
      <c r="B56" s="60" t="s">
        <v>97</v>
      </c>
      <c r="C56" s="60"/>
      <c r="D56" s="336">
        <v>11980</v>
      </c>
      <c r="E56" s="289">
        <v>11440</v>
      </c>
      <c r="F56" s="289">
        <v>12040</v>
      </c>
      <c r="G56" s="290">
        <v>12020</v>
      </c>
      <c r="H56" s="290">
        <v>11600</v>
      </c>
      <c r="I56" s="290">
        <v>11750</v>
      </c>
      <c r="J56" s="60"/>
    </row>
    <row r="57" spans="1:16" ht="13.2" customHeight="1" thickBot="1">
      <c r="A57" s="60"/>
      <c r="B57" s="60" t="s">
        <v>98</v>
      </c>
      <c r="C57" s="60"/>
      <c r="D57" s="337"/>
      <c r="E57" s="291"/>
      <c r="F57" s="291"/>
      <c r="G57" s="291"/>
      <c r="H57" s="292"/>
      <c r="I57" s="292"/>
      <c r="J57" s="60"/>
    </row>
    <row r="58" spans="1:16" ht="19.5" customHeight="1" thickBot="1">
      <c r="A58" s="60"/>
      <c r="B58" s="65" t="s">
        <v>27</v>
      </c>
      <c r="C58" s="60"/>
      <c r="D58" s="60"/>
      <c r="E58" s="60"/>
      <c r="F58" s="60"/>
      <c r="G58" s="60"/>
      <c r="H58" s="60"/>
      <c r="I58" s="60"/>
      <c r="J58" s="60"/>
    </row>
    <row r="59" spans="1:16" ht="12" customHeight="1">
      <c r="A59" s="60"/>
      <c r="B59" s="60" t="s">
        <v>138</v>
      </c>
      <c r="C59" s="60"/>
      <c r="D59" s="359">
        <v>115.6</v>
      </c>
      <c r="E59" s="293">
        <v>118</v>
      </c>
      <c r="F59" s="293">
        <v>107</v>
      </c>
      <c r="G59" s="294">
        <v>109</v>
      </c>
      <c r="H59" s="294">
        <v>99</v>
      </c>
      <c r="I59" s="294">
        <v>95</v>
      </c>
      <c r="J59" s="60"/>
    </row>
    <row r="60" spans="1:16">
      <c r="A60" s="60"/>
      <c r="B60" s="242" t="s">
        <v>196</v>
      </c>
      <c r="C60" s="60"/>
      <c r="D60" s="360">
        <v>12.7</v>
      </c>
      <c r="E60" s="155">
        <v>13.1</v>
      </c>
      <c r="F60" s="155">
        <v>14.2</v>
      </c>
      <c r="G60" s="295">
        <v>14.7</v>
      </c>
      <c r="H60" s="295">
        <v>17.7</v>
      </c>
      <c r="I60" s="295">
        <v>17.5</v>
      </c>
      <c r="J60" s="60"/>
    </row>
    <row r="61" spans="1:16" ht="13.8" thickBot="1">
      <c r="A61" s="60"/>
      <c r="B61" s="60" t="s">
        <v>131</v>
      </c>
      <c r="C61" s="60"/>
      <c r="D61" s="296">
        <v>4.0999999999999996</v>
      </c>
      <c r="E61" s="297">
        <v>4</v>
      </c>
      <c r="F61" s="297">
        <v>6.4</v>
      </c>
      <c r="G61" s="298">
        <v>5.94</v>
      </c>
      <c r="H61" s="298">
        <v>6</v>
      </c>
      <c r="I61" s="298">
        <v>6</v>
      </c>
      <c r="J61" s="60"/>
    </row>
    <row r="62" spans="1:16">
      <c r="A62" s="60"/>
      <c r="B62" s="60"/>
      <c r="C62" s="60"/>
      <c r="D62" s="60"/>
      <c r="E62" s="60"/>
      <c r="F62" s="60"/>
      <c r="G62" s="60"/>
      <c r="H62" s="60"/>
      <c r="I62" s="60"/>
      <c r="J62" s="60"/>
    </row>
    <row r="63" spans="1:16" ht="9" customHeight="1"/>
    <row r="64" spans="1:16">
      <c r="B64" s="97"/>
      <c r="C64" s="98"/>
      <c r="D64" s="98"/>
      <c r="E64" s="98"/>
      <c r="F64" s="98"/>
      <c r="G64" s="98"/>
      <c r="H64" s="98"/>
      <c r="I64" s="98"/>
    </row>
    <row r="65" spans="1:10" ht="12.75" customHeight="1">
      <c r="B65" s="132"/>
      <c r="C65" s="132"/>
      <c r="D65" s="132"/>
      <c r="E65" s="132"/>
      <c r="F65" s="132"/>
      <c r="G65" s="132"/>
      <c r="H65" s="132"/>
      <c r="I65" s="132"/>
    </row>
    <row r="66" spans="1:10">
      <c r="B66" s="132"/>
      <c r="C66" s="132"/>
      <c r="D66" s="132"/>
      <c r="E66" s="132"/>
      <c r="F66" s="132"/>
      <c r="G66" s="132"/>
      <c r="H66" s="132"/>
      <c r="I66" s="132"/>
    </row>
    <row r="67" spans="1:10">
      <c r="B67" s="132"/>
      <c r="C67" s="132"/>
      <c r="D67" s="132"/>
      <c r="E67" s="132"/>
      <c r="F67" s="132"/>
      <c r="G67" s="132"/>
      <c r="H67" s="132"/>
      <c r="I67" s="132"/>
    </row>
    <row r="68" spans="1:10" ht="13.5" customHeight="1">
      <c r="A68" s="91"/>
      <c r="B68" s="132"/>
      <c r="C68" s="132"/>
      <c r="D68" s="132"/>
      <c r="E68" s="132"/>
      <c r="F68" s="132"/>
      <c r="G68" s="132"/>
      <c r="H68" s="132"/>
      <c r="I68" s="132"/>
      <c r="J68" s="133"/>
    </row>
    <row r="69" spans="1:10" ht="12.75" customHeight="1">
      <c r="B69" s="133"/>
      <c r="C69" s="133"/>
      <c r="D69" s="133"/>
      <c r="E69" s="133"/>
      <c r="F69" s="133"/>
      <c r="G69" s="133"/>
      <c r="H69" s="133"/>
      <c r="I69" s="133"/>
      <c r="J69" s="133"/>
    </row>
    <row r="70" spans="1:10">
      <c r="B70" s="133"/>
      <c r="C70" s="133"/>
      <c r="D70" s="133"/>
      <c r="E70" s="133"/>
      <c r="F70" s="133"/>
      <c r="G70" s="133"/>
      <c r="H70" s="133"/>
      <c r="I70" s="133"/>
      <c r="J70" s="133"/>
    </row>
  </sheetData>
  <sheetProtection sheet="1" objects="1" scenarios="1"/>
  <mergeCells count="3">
    <mergeCell ref="D13:F13"/>
    <mergeCell ref="G13:H13"/>
    <mergeCell ref="G19:H19"/>
  </mergeCells>
  <phoneticPr fontId="35" type="noConversion"/>
  <pageMargins left="0.98425196850393704" right="0.59055118110236227" top="0.98425196850393704" bottom="0.51181102362204722" header="0.51181102362204722" footer="0.51181102362204722"/>
  <pageSetup paperSize="9" scale="80" orientation="portrait" r:id="rId1"/>
  <headerFooter alignWithMargins="0">
    <oddFooter>&amp;F&amp;RSide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Drop Down 43">
              <controlPr locked="0"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152400</xdr:rowOff>
                  </from>
                  <to>
                    <xdr:col>6</xdr:col>
                    <xdr:colOff>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" name="Drop Down 78">
              <controlPr locked="0" defaultSize="0" autoFill="0" autoLine="0" autoPict="0" macro="[0]!Rullemenu78_Ændring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7620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" name="Drop Down 79">
              <controlPr locked="0" defaultSize="0" autoFill="0" autoLine="0" autoPict="0">
                <anchor moveWithCells="1">
                  <from>
                    <xdr:col>4</xdr:col>
                    <xdr:colOff>22860</xdr:colOff>
                    <xdr:row>32</xdr:row>
                    <xdr:rowOff>152400</xdr:rowOff>
                  </from>
                  <to>
                    <xdr:col>5</xdr:col>
                    <xdr:colOff>7620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" name="Drop Down 80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152400</xdr:rowOff>
                  </from>
                  <to>
                    <xdr:col>6</xdr:col>
                    <xdr:colOff>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" name="Drop Down 81">
              <controlPr defaultSize="0" autoFill="0" autoLine="0" autoPict="0">
                <anchor moveWithCells="1">
                  <from>
                    <xdr:col>6</xdr:col>
                    <xdr:colOff>7620</xdr:colOff>
                    <xdr:row>32</xdr:row>
                    <xdr:rowOff>152400</xdr:rowOff>
                  </from>
                  <to>
                    <xdr:col>7</xdr:col>
                    <xdr:colOff>22860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9" name="Drop Down 82">
              <controlPr defaultSize="0" autoFill="0" autoLine="0" autoPict="0">
                <anchor moveWithCells="1">
                  <from>
                    <xdr:col>7</xdr:col>
                    <xdr:colOff>7620</xdr:colOff>
                    <xdr:row>32</xdr:row>
                    <xdr:rowOff>152400</xdr:rowOff>
                  </from>
                  <to>
                    <xdr:col>7</xdr:col>
                    <xdr:colOff>899160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" name="Drop Down 83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137160</xdr:rowOff>
                  </from>
                  <to>
                    <xdr:col>9</xdr:col>
                    <xdr:colOff>7620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" name="Drop Down 99">
              <controlPr defaultSize="0" autoLine="0" autoPict="0">
                <anchor moveWithCells="1">
                  <from>
                    <xdr:col>7</xdr:col>
                    <xdr:colOff>502920</xdr:colOff>
                    <xdr:row>15</xdr:row>
                    <xdr:rowOff>60960</xdr:rowOff>
                  </from>
                  <to>
                    <xdr:col>9</xdr:col>
                    <xdr:colOff>198120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2" name="Drop Down 105">
              <controlPr defaultSize="0" autoLine="0" autoPict="0">
                <anchor moveWithCells="1">
                  <from>
                    <xdr:col>7</xdr:col>
                    <xdr:colOff>769620</xdr:colOff>
                    <xdr:row>13</xdr:row>
                    <xdr:rowOff>137160</xdr:rowOff>
                  </from>
                  <to>
                    <xdr:col>9</xdr:col>
                    <xdr:colOff>175260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Drop Down 134">
              <controlPr locked="0" defaultSize="0" autoFill="0" autoLine="0" autoPict="0">
                <anchor moveWithCells="1">
                  <from>
                    <xdr:col>8</xdr:col>
                    <xdr:colOff>106680</xdr:colOff>
                    <xdr:row>11</xdr:row>
                    <xdr:rowOff>91440</xdr:rowOff>
                  </from>
                  <to>
                    <xdr:col>9</xdr:col>
                    <xdr:colOff>175260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" name="Drop Down 138">
              <controlPr defaultSize="0" autoLine="0" autoPict="0">
                <anchor moveWithCells="1">
                  <from>
                    <xdr:col>8</xdr:col>
                    <xdr:colOff>106680</xdr:colOff>
                    <xdr:row>17</xdr:row>
                    <xdr:rowOff>106680</xdr:rowOff>
                  </from>
                  <to>
                    <xdr:col>9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44" transitionEvaluation="1" codeName="Ark2"/>
  <dimension ref="A1:T636"/>
  <sheetViews>
    <sheetView showGridLines="0" topLeftCell="A44" zoomScale="68" zoomScaleNormal="68" zoomScalePageLayoutView="70" workbookViewId="0">
      <selection activeCell="C62" sqref="C62"/>
    </sheetView>
  </sheetViews>
  <sheetFormatPr defaultColWidth="12.5546875" defaultRowHeight="15"/>
  <cols>
    <col min="1" max="1" width="49.88671875" style="3" customWidth="1"/>
    <col min="2" max="2" width="13.6640625" style="3" customWidth="1"/>
    <col min="3" max="8" width="15.6640625" style="3" customWidth="1"/>
    <col min="9" max="9" width="5.109375" style="3" customWidth="1"/>
    <col min="10" max="11" width="12.5546875" style="3" customWidth="1"/>
    <col min="12" max="16384" width="12.5546875" style="3"/>
  </cols>
  <sheetData>
    <row r="1" spans="1:11" ht="39" customHeight="1">
      <c r="A1" s="115" t="str">
        <f>Indtastningsark!A1</f>
        <v>Grønt Regnskab 2025</v>
      </c>
      <c r="D1" s="58"/>
      <c r="E1" s="58"/>
      <c r="F1" s="58"/>
      <c r="H1" s="106"/>
      <c r="I1" s="58"/>
    </row>
    <row r="2" spans="1:11" ht="39" customHeight="1">
      <c r="A2" s="92" t="str">
        <f>Indtastningsark!D13</f>
        <v>Klimaparken</v>
      </c>
      <c r="B2" s="92"/>
      <c r="C2" s="58"/>
      <c r="D2" s="58"/>
      <c r="E2" s="69"/>
      <c r="G2" s="105"/>
      <c r="H2" s="114" t="s">
        <v>28</v>
      </c>
      <c r="I2" s="69"/>
    </row>
    <row r="3" spans="1:11" ht="39" customHeight="1">
      <c r="A3" s="99"/>
      <c r="B3"/>
      <c r="C3"/>
      <c r="D3"/>
      <c r="E3" s="58"/>
      <c r="F3" s="58"/>
      <c r="G3" s="69"/>
      <c r="H3" s="69"/>
      <c r="I3" s="69"/>
    </row>
    <row r="4" spans="1:11" ht="19.5" customHeight="1">
      <c r="A4" s="113"/>
      <c r="B4" s="1"/>
      <c r="C4" s="2"/>
      <c r="D4" s="2"/>
      <c r="E4" s="30"/>
      <c r="F4" s="30"/>
      <c r="G4" s="69"/>
      <c r="H4" s="69"/>
      <c r="I4" s="69"/>
    </row>
    <row r="5" spans="1:11" ht="24" customHeight="1" thickBot="1">
      <c r="A5" s="4"/>
      <c r="B5" s="4"/>
      <c r="C5" s="4"/>
      <c r="D5" s="31" t="s">
        <v>85</v>
      </c>
      <c r="E5" s="31" t="s">
        <v>86</v>
      </c>
      <c r="F5" s="31" t="s">
        <v>124</v>
      </c>
      <c r="G5" s="31" t="s">
        <v>128</v>
      </c>
      <c r="H5" s="31" t="s">
        <v>104</v>
      </c>
    </row>
    <row r="6" spans="1:11" ht="19.5" customHeight="1" thickBot="1">
      <c r="A6" s="201"/>
      <c r="B6" s="235"/>
      <c r="C6" s="232">
        <f>VLOOKUP(Indtastningsark!I12,'Graddage mv.'!A7:B25,2)</f>
        <v>2025</v>
      </c>
      <c r="D6" s="218">
        <f ca="1">H29</f>
        <v>4174.867048546078</v>
      </c>
      <c r="E6" s="220">
        <f>H38</f>
        <v>530.60686015831129</v>
      </c>
      <c r="F6" s="74">
        <f>H48</f>
        <v>31.002638522427439</v>
      </c>
      <c r="G6" s="73">
        <f>H58</f>
        <v>312.66490765171505</v>
      </c>
      <c r="H6" s="75">
        <f>H66</f>
        <v>206.27488126649081</v>
      </c>
      <c r="I6" s="6"/>
    </row>
    <row r="7" spans="1:11" ht="15" customHeight="1">
      <c r="A7" s="4"/>
      <c r="B7" s="4"/>
      <c r="C7" s="4"/>
      <c r="D7" s="4"/>
      <c r="E7" s="4"/>
      <c r="F7" s="4"/>
      <c r="G7" s="4"/>
      <c r="H7" s="4"/>
    </row>
    <row r="8" spans="1:11" ht="19.5" customHeight="1">
      <c r="A8" s="198"/>
      <c r="B8" s="4"/>
      <c r="C8" s="137">
        <f>IF(ISTEXT(Indtastningsark!D32),Indtastningsark!D32,Indtastningsark!D34)</f>
        <v>2020</v>
      </c>
      <c r="D8" s="137">
        <f>IF(ISTEXT(Indtastningsark!E32),Indtastningsark!E32,Indtastningsark!E34)</f>
        <v>2021</v>
      </c>
      <c r="E8" s="137">
        <f>IF(ISTEXT(Indtastningsark!F32),Indtastningsark!F32,Indtastningsark!F34)</f>
        <v>2022</v>
      </c>
      <c r="F8" s="137">
        <f>IF(ISTEXT(Indtastningsark!G32),Indtastningsark!G32,Indtastningsark!G34)</f>
        <v>2023</v>
      </c>
      <c r="G8" s="138">
        <f>IF(ISTEXT(Indtastningsark!H32),Indtastningsark!H32,Indtastningsark!H34)</f>
        <v>2024</v>
      </c>
      <c r="H8" s="138">
        <f>IF(ISTEXT(Indtastningsark!I32),Indtastningsark!I32,Indtastningsark!I34)</f>
        <v>2025</v>
      </c>
      <c r="I8" s="121"/>
    </row>
    <row r="9" spans="1:11" ht="15" customHeight="1">
      <c r="A9" s="4"/>
      <c r="B9" s="4"/>
      <c r="C9" s="118"/>
      <c r="D9" s="118"/>
      <c r="E9" s="118"/>
      <c r="F9" s="118"/>
      <c r="G9" s="119"/>
      <c r="H9" s="122"/>
    </row>
    <row r="10" spans="1:11" ht="20.100000000000001" customHeight="1">
      <c r="A10" s="35" t="s">
        <v>29</v>
      </c>
      <c r="B10" s="53" t="s">
        <v>105</v>
      </c>
      <c r="C10" s="126">
        <f>Indtastningsark!D39</f>
        <v>14900</v>
      </c>
      <c r="D10" s="126">
        <f>Indtastningsark!E39</f>
        <v>14900</v>
      </c>
      <c r="E10" s="126">
        <f>Indtastningsark!F39</f>
        <v>14900</v>
      </c>
      <c r="F10" s="126">
        <f>Indtastningsark!G39</f>
        <v>14900</v>
      </c>
      <c r="G10" s="221">
        <f>Indtastningsark!H39</f>
        <v>14900</v>
      </c>
      <c r="H10" s="127">
        <f>Indtastningsark!I39</f>
        <v>14900</v>
      </c>
      <c r="I10" s="223"/>
    </row>
    <row r="11" spans="1:11" ht="20.100000000000001" customHeight="1">
      <c r="A11" s="37" t="s">
        <v>30</v>
      </c>
      <c r="B11" s="55"/>
      <c r="C11" s="127">
        <f>Indtastningsark!D40</f>
        <v>375</v>
      </c>
      <c r="D11" s="127">
        <f>Indtastningsark!E40</f>
        <v>377</v>
      </c>
      <c r="E11" s="127">
        <f>Indtastningsark!F40</f>
        <v>379</v>
      </c>
      <c r="F11" s="127">
        <f>Indtastningsark!G40</f>
        <v>382</v>
      </c>
      <c r="G11" s="222">
        <f>Indtastningsark!H40</f>
        <v>379</v>
      </c>
      <c r="H11" s="127">
        <f>Indtastningsark!I40</f>
        <v>379</v>
      </c>
      <c r="I11" s="223"/>
    </row>
    <row r="12" spans="1:11" ht="20.100000000000001" customHeight="1">
      <c r="A12" s="4"/>
      <c r="B12" s="4"/>
      <c r="D12" s="196"/>
      <c r="E12" s="196"/>
      <c r="F12" s="196"/>
      <c r="G12" s="196"/>
      <c r="H12" s="196"/>
    </row>
    <row r="13" spans="1:11" ht="20.100000000000001" customHeight="1">
      <c r="A13" s="195"/>
    </row>
    <row r="14" spans="1:11" ht="20.100000000000001" customHeight="1">
      <c r="A14" s="35" t="s">
        <v>118</v>
      </c>
      <c r="B14" s="36" t="s">
        <v>31</v>
      </c>
      <c r="C14" s="139">
        <f>Indtastningsark!D44</f>
        <v>1470</v>
      </c>
      <c r="D14" s="139">
        <f>Indtastningsark!E44</f>
        <v>1460</v>
      </c>
      <c r="E14" s="139">
        <f>Indtastningsark!F44</f>
        <v>1424</v>
      </c>
      <c r="F14" s="139">
        <f>Indtastningsark!G44</f>
        <v>1418</v>
      </c>
      <c r="G14" s="139">
        <f>Indtastningsark!H44</f>
        <v>1450</v>
      </c>
      <c r="H14" s="139">
        <f>Indtastningsark!I44</f>
        <v>1380</v>
      </c>
      <c r="I14" s="7"/>
    </row>
    <row r="15" spans="1:11" ht="20.100000000000001" customHeight="1">
      <c r="A15" s="38" t="s">
        <v>122</v>
      </c>
      <c r="B15" s="5" t="s">
        <v>31</v>
      </c>
      <c r="C15" s="139">
        <f>Indtastningsark!D45*0.01*0.75</f>
        <v>0</v>
      </c>
      <c r="D15" s="139">
        <f>Indtastningsark!E45*0.01*0.75</f>
        <v>0</v>
      </c>
      <c r="E15" s="139">
        <f>Indtastningsark!F45*0.01*0.75</f>
        <v>0</v>
      </c>
      <c r="F15" s="139">
        <f>Indtastningsark!G45*0.01*0.75</f>
        <v>0</v>
      </c>
      <c r="G15" s="139">
        <f>Indtastningsark!H45*0.01*0.75</f>
        <v>0</v>
      </c>
      <c r="H15" s="139">
        <f>Indtastningsark!I45*0.01*0.75</f>
        <v>0</v>
      </c>
      <c r="I15" s="7"/>
      <c r="K15" s="9"/>
    </row>
    <row r="16" spans="1:11" ht="20.100000000000001" customHeight="1">
      <c r="A16" s="38" t="s">
        <v>34</v>
      </c>
      <c r="B16" s="5" t="s">
        <v>31</v>
      </c>
      <c r="C16" s="139">
        <f>Indtastningsark!D46*0.011*0.8</f>
        <v>0</v>
      </c>
      <c r="D16" s="139">
        <f>Indtastningsark!E46*0.011*0.8</f>
        <v>0</v>
      </c>
      <c r="E16" s="139">
        <f>Indtastningsark!F46*0.011*0.8</f>
        <v>0</v>
      </c>
      <c r="F16" s="139">
        <f>Indtastningsark!G46*0.011*0.8</f>
        <v>0</v>
      </c>
      <c r="G16" s="139">
        <f>Indtastningsark!H46*0.011*0.8</f>
        <v>0</v>
      </c>
      <c r="H16" s="139">
        <f>Indtastningsark!I46*0.011*0.8</f>
        <v>0</v>
      </c>
      <c r="I16" s="7"/>
      <c r="K16" s="9"/>
    </row>
    <row r="17" spans="1:20" ht="20.100000000000001" customHeight="1">
      <c r="A17" s="38" t="s">
        <v>1</v>
      </c>
      <c r="B17" s="5" t="s">
        <v>31</v>
      </c>
      <c r="C17" s="139">
        <f>Indtastningsark!D47*VLOOKUP(Indtastningsark!$I$18,'Graddage mv.'!$U$10:$W$15,3,FALSE)/1000</f>
        <v>0</v>
      </c>
      <c r="D17" s="139">
        <f>Indtastningsark!E47*VLOOKUP(Indtastningsark!$I$18,'Graddage mv.'!$U$10:$W$15,3,FALSE)/1000</f>
        <v>0</v>
      </c>
      <c r="E17" s="139">
        <f>Indtastningsark!F47*VLOOKUP(Indtastningsark!$I$18,'Graddage mv.'!$U$10:$W$15,3,FALSE)/1000</f>
        <v>0</v>
      </c>
      <c r="F17" s="139">
        <f>Indtastningsark!G47*VLOOKUP(Indtastningsark!$I$18,'Graddage mv.'!$U$10:$W$15,3,FALSE)/1000</f>
        <v>0</v>
      </c>
      <c r="G17" s="139">
        <f>Indtastningsark!H47*VLOOKUP(Indtastningsark!$I$18,'Graddage mv.'!$U$10:$W$15,3,FALSE)/1000</f>
        <v>0</v>
      </c>
      <c r="H17" s="139">
        <f>Indtastningsark!I47*VLOOKUP(Indtastningsark!$I$18,'Graddage mv.'!$U$10:$W$15,3,FALSE)/1000</f>
        <v>0</v>
      </c>
      <c r="I17" s="7"/>
      <c r="K17" s="9"/>
    </row>
    <row r="18" spans="1:20" ht="20.100000000000001" customHeight="1">
      <c r="A18" s="38" t="s">
        <v>174</v>
      </c>
      <c r="B18" s="5" t="s">
        <v>31</v>
      </c>
      <c r="C18" s="139">
        <f>Indtastningsark!D48/1000</f>
        <v>0</v>
      </c>
      <c r="D18" s="139">
        <f>Indtastningsark!E48/1000</f>
        <v>0</v>
      </c>
      <c r="E18" s="139">
        <f>Indtastningsark!F48/1000</f>
        <v>0</v>
      </c>
      <c r="F18" s="139">
        <f>Indtastningsark!G48/1000</f>
        <v>0</v>
      </c>
      <c r="G18" s="139">
        <f>Indtastningsark!H48/1000</f>
        <v>0</v>
      </c>
      <c r="H18" s="139">
        <f>Indtastningsark!I48/1000</f>
        <v>0</v>
      </c>
      <c r="I18" s="7"/>
      <c r="K18" s="9"/>
    </row>
    <row r="19" spans="1:20" ht="20.100000000000001" customHeight="1">
      <c r="A19" s="38" t="s">
        <v>164</v>
      </c>
      <c r="B19" s="5" t="s">
        <v>31</v>
      </c>
      <c r="C19" s="139">
        <f>'BASIS-X-regneark '!C14+'BASIS-X-regneark '!C15+'BASIS-X-regneark '!C16</f>
        <v>0</v>
      </c>
      <c r="D19" s="139">
        <f>'BASIS-X-regneark '!D14+'BASIS-X-regneark '!D15+'BASIS-X-regneark '!D16</f>
        <v>0</v>
      </c>
      <c r="E19" s="139">
        <f>'BASIS-X-regneark '!E14+'BASIS-X-regneark '!E15+'BASIS-X-regneark '!E16</f>
        <v>0</v>
      </c>
      <c r="F19" s="139">
        <f>'BASIS-X-regneark '!F14+'BASIS-X-regneark '!F15+'BASIS-X-regneark '!F16</f>
        <v>0</v>
      </c>
      <c r="G19" s="139">
        <f>'BASIS-X-regneark '!G14+'BASIS-X-regneark '!G15+'BASIS-X-regneark '!G16</f>
        <v>0</v>
      </c>
      <c r="H19" s="139">
        <f>'BASIS-X-regneark '!H14+'BASIS-X-regneark '!H15+'BASIS-X-regneark '!H16</f>
        <v>0</v>
      </c>
      <c r="I19" s="7"/>
      <c r="K19" s="9"/>
    </row>
    <row r="20" spans="1:20" ht="20.100000000000001" customHeight="1">
      <c r="A20" s="37" t="s">
        <v>35</v>
      </c>
      <c r="B20" s="55" t="s">
        <v>31</v>
      </c>
      <c r="C20" s="139">
        <f>SUM(C14:C18)</f>
        <v>1470</v>
      </c>
      <c r="D20" s="139">
        <f t="shared" ref="D20:H20" si="0">SUM(D14:D18)</f>
        <v>1460</v>
      </c>
      <c r="E20" s="139">
        <f t="shared" si="0"/>
        <v>1424</v>
      </c>
      <c r="F20" s="139">
        <f t="shared" si="0"/>
        <v>1418</v>
      </c>
      <c r="G20" s="139">
        <f t="shared" si="0"/>
        <v>1450</v>
      </c>
      <c r="H20" s="139">
        <f t="shared" si="0"/>
        <v>1380</v>
      </c>
      <c r="I20" s="7"/>
      <c r="J20" s="16"/>
      <c r="K20" s="14"/>
      <c r="L20" s="14"/>
      <c r="M20" s="14"/>
      <c r="N20" s="14"/>
      <c r="O20" s="14"/>
      <c r="P20" s="14"/>
    </row>
    <row r="21" spans="1:20" ht="20.100000000000001" customHeight="1">
      <c r="A21" s="38" t="s">
        <v>79</v>
      </c>
      <c r="B21" s="5" t="s">
        <v>31</v>
      </c>
      <c r="C21" s="217">
        <f ca="1">VLOOKUP(Indtastningsark!$I$16,'Graddage mv.'!$U$18:$AB$23,CELL("kolonne",C21))</f>
        <v>375</v>
      </c>
      <c r="D21" s="217">
        <f ca="1">VLOOKUP(Indtastningsark!$I$16,'Graddage mv.'!$U$18:$AB$23,CELL("kolonne",D21))</f>
        <v>377</v>
      </c>
      <c r="E21" s="217">
        <f ca="1">VLOOKUP(Indtastningsark!$I$16,'Graddage mv.'!$U$18:$AB$23,CELL("kolonne",E21))</f>
        <v>379</v>
      </c>
      <c r="F21" s="217">
        <f ca="1">VLOOKUP(Indtastningsark!$I$16,'Graddage mv.'!$U$18:$AB$23,CELL("kolonne",F21))</f>
        <v>382</v>
      </c>
      <c r="G21" s="217">
        <f ca="1">VLOOKUP(Indtastningsark!$I$16,'Graddage mv.'!$U$18:$AB$23,CELL("kolonne",G21))</f>
        <v>379</v>
      </c>
      <c r="H21" s="217">
        <f ca="1">VLOOKUP(Indtastningsark!$I$16,'Graddage mv.'!$U$18:$AB$23,CELL("kolonne",H21))</f>
        <v>379</v>
      </c>
      <c r="I21" s="7"/>
      <c r="J21" s="17"/>
      <c r="K21" s="18"/>
      <c r="L21" s="18"/>
      <c r="M21" s="18"/>
      <c r="N21" s="18"/>
      <c r="O21" s="18"/>
      <c r="P21" s="18"/>
    </row>
    <row r="22" spans="1:20" ht="20.100000000000001" customHeight="1">
      <c r="A22" s="194" t="str">
        <f>Indtastningsark!B35</f>
        <v>Graddagetal (normal 2552)</v>
      </c>
      <c r="B22" s="4"/>
      <c r="C22" s="141">
        <f>Indtastningsark!D35</f>
        <v>2326</v>
      </c>
      <c r="D22" s="141">
        <f>Indtastningsark!E35</f>
        <v>2590</v>
      </c>
      <c r="E22" s="141">
        <f>Indtastningsark!F35</f>
        <v>2178</v>
      </c>
      <c r="F22" s="141">
        <f>Indtastningsark!G35</f>
        <v>2366</v>
      </c>
      <c r="G22" s="141">
        <f>Indtastningsark!H35</f>
        <v>2231</v>
      </c>
      <c r="H22" s="141">
        <f>Indtastningsark!I35</f>
        <v>2123</v>
      </c>
      <c r="I22" s="7"/>
      <c r="J22" s="17"/>
      <c r="K22" s="18"/>
      <c r="L22" s="18"/>
      <c r="M22" s="18"/>
      <c r="N22" s="18"/>
      <c r="O22" s="18"/>
      <c r="P22" s="18"/>
    </row>
    <row r="23" spans="1:20" ht="20.100000000000001" customHeight="1">
      <c r="A23" s="37" t="s">
        <v>36</v>
      </c>
      <c r="B23" s="15" t="s">
        <v>31</v>
      </c>
      <c r="C23" s="141">
        <f ca="1">IF(C22&gt;0,(C20-C21)/Indtastningsark!D35*Indtastningsark!$B$32+C21)</f>
        <v>1576.3929492691316</v>
      </c>
      <c r="D23" s="141">
        <f ca="1">IF(D22&gt;0,(D20-D21)/Indtastningsark!E35*Indtastningsark!$B$32+D21)</f>
        <v>1444.1104247104247</v>
      </c>
      <c r="E23" s="141">
        <f ca="1">IF(E22&gt;0,(E20-E21)/Indtastningsark!F35*Indtastningsark!$B$32+E21)</f>
        <v>1603.4444444444443</v>
      </c>
      <c r="F23" s="141">
        <f ca="1">IF(F22&gt;0,(F20-F21)/Indtastningsark!G35*Indtastningsark!$B$32+F21)</f>
        <v>1499.4437869822486</v>
      </c>
      <c r="G23" s="141">
        <f ca="1">IF(G22&gt;0,(G20-G21)/Indtastningsark!H35*Indtastningsark!$B$32+G21)</f>
        <v>1604.0972658000896</v>
      </c>
      <c r="H23" s="141">
        <f ca="1">IF(H22&gt;0,(H20-H21)/Indtastningsark!I35*Indtastningsark!$B$32+H21)</f>
        <v>1582.2746113989638</v>
      </c>
      <c r="I23" s="7"/>
      <c r="J23" s="19"/>
      <c r="K23" s="20"/>
      <c r="L23" s="20"/>
      <c r="M23" s="20"/>
      <c r="N23" s="20"/>
      <c r="O23" s="20"/>
      <c r="P23" s="21"/>
    </row>
    <row r="24" spans="1:20" ht="20.100000000000001" customHeight="1">
      <c r="A24" s="38" t="s">
        <v>37</v>
      </c>
      <c r="B24" s="4" t="s">
        <v>40</v>
      </c>
      <c r="C24" s="143">
        <f ca="1">IF(C10&gt;0,(C23-C21)/C10*1000," ")</f>
        <v>80.630399279807492</v>
      </c>
      <c r="D24" s="143">
        <f ca="1">IF(D10&gt;0,(D23-D21)/D10*1000," ")</f>
        <v>71.618149309424481</v>
      </c>
      <c r="E24" s="143">
        <f t="shared" ref="E24:H24" ca="1" si="1">IF(E10&gt;0,(E23-E21)/E10*1000," ")</f>
        <v>82.177479492915737</v>
      </c>
      <c r="F24" s="143">
        <f t="shared" ca="1" si="1"/>
        <v>74.996227314244877</v>
      </c>
      <c r="G24" s="143">
        <f t="shared" ca="1" si="1"/>
        <v>82.221293006717417</v>
      </c>
      <c r="H24" s="143">
        <f t="shared" ca="1" si="1"/>
        <v>80.756685328789516</v>
      </c>
      <c r="I24" s="7"/>
      <c r="J24" s="16"/>
      <c r="K24" s="14"/>
      <c r="L24" s="14"/>
      <c r="M24" s="14"/>
      <c r="N24" s="14"/>
      <c r="O24" s="14"/>
      <c r="P24" s="14"/>
    </row>
    <row r="25" spans="1:20" ht="20.100000000000001" customHeight="1">
      <c r="A25" s="38" t="s">
        <v>38</v>
      </c>
      <c r="B25" s="4" t="s">
        <v>40</v>
      </c>
      <c r="C25" s="143">
        <f ca="1">IF(C10&gt;0,C21/C10*1000," ")</f>
        <v>25.167785234899327</v>
      </c>
      <c r="D25" s="143">
        <f t="shared" ref="D25:H25" ca="1" si="2">IF(D10&gt;0,D21/D10*1000," ")</f>
        <v>25.302013422818792</v>
      </c>
      <c r="E25" s="143">
        <f t="shared" ca="1" si="2"/>
        <v>25.436241610738254</v>
      </c>
      <c r="F25" s="143">
        <f t="shared" ca="1" si="2"/>
        <v>25.63758389261745</v>
      </c>
      <c r="G25" s="143">
        <f t="shared" ca="1" si="2"/>
        <v>25.436241610738254</v>
      </c>
      <c r="H25" s="143">
        <f t="shared" ca="1" si="2"/>
        <v>25.436241610738254</v>
      </c>
      <c r="I25" s="7"/>
      <c r="J25" s="16"/>
      <c r="K25" s="14"/>
      <c r="L25" s="14"/>
      <c r="M25" s="14"/>
      <c r="N25" s="14"/>
      <c r="O25" s="14"/>
      <c r="P25" s="14"/>
    </row>
    <row r="26" spans="1:20" ht="20.100000000000001" customHeight="1">
      <c r="A26" s="37" t="s">
        <v>197</v>
      </c>
      <c r="B26" s="15" t="s">
        <v>40</v>
      </c>
      <c r="C26" s="143">
        <f ca="1">IF(C10&gt;0,C23/C10*1000," ")</f>
        <v>105.79818451470682</v>
      </c>
      <c r="D26" s="143">
        <f t="shared" ref="D26:H26" ca="1" si="3">IF(D10&gt;0,D23/D10*1000," ")</f>
        <v>96.92016273224327</v>
      </c>
      <c r="E26" s="143">
        <f t="shared" ca="1" si="3"/>
        <v>107.61372110365399</v>
      </c>
      <c r="F26" s="143">
        <f t="shared" ca="1" si="3"/>
        <v>100.63381120686232</v>
      </c>
      <c r="G26" s="143">
        <f t="shared" ca="1" si="3"/>
        <v>107.65753461745568</v>
      </c>
      <c r="H26" s="143">
        <f t="shared" ca="1" si="3"/>
        <v>106.19292693952777</v>
      </c>
      <c r="I26" s="7"/>
      <c r="J26" s="22"/>
      <c r="K26" s="23"/>
      <c r="L26" s="23"/>
      <c r="M26" s="23"/>
      <c r="N26" s="23"/>
      <c r="O26" s="23"/>
      <c r="P26" s="24"/>
      <c r="Q26" s="10"/>
      <c r="R26" s="10"/>
      <c r="S26" s="10"/>
      <c r="T26" s="6"/>
    </row>
    <row r="27" spans="1:20" ht="20.100000000000001" customHeight="1">
      <c r="A27" s="38" t="s">
        <v>37</v>
      </c>
      <c r="B27" s="4" t="s">
        <v>40</v>
      </c>
      <c r="C27" s="332">
        <f ca="1">IF(C11&gt;0,(C23-C21)/C11*1000," ")</f>
        <v>3203.7145313843507</v>
      </c>
      <c r="D27" s="332">
        <f t="shared" ref="D27:H27" ca="1" si="4">IF(D11&gt;0,(D23-D21)/D11*1000," ")</f>
        <v>2830.5316305316305</v>
      </c>
      <c r="E27" s="332">
        <f t="shared" ca="1" si="4"/>
        <v>3230.7241278217525</v>
      </c>
      <c r="F27" s="332">
        <f t="shared" ca="1" si="4"/>
        <v>2925.2455156603369</v>
      </c>
      <c r="G27" s="332">
        <f t="shared" ca="1" si="4"/>
        <v>3232.4466116097351</v>
      </c>
      <c r="H27" s="332">
        <f t="shared" ca="1" si="4"/>
        <v>3174.8670485460784</v>
      </c>
      <c r="I27" s="7"/>
      <c r="J27" s="22"/>
      <c r="K27" s="23"/>
      <c r="L27" s="23"/>
      <c r="M27" s="23"/>
      <c r="N27" s="23"/>
      <c r="O27" s="23"/>
      <c r="P27" s="24"/>
      <c r="Q27" s="10"/>
      <c r="R27" s="10"/>
      <c r="S27" s="10"/>
      <c r="T27" s="6"/>
    </row>
    <row r="28" spans="1:20" ht="20.100000000000001" customHeight="1">
      <c r="A28" s="38" t="s">
        <v>38</v>
      </c>
      <c r="B28" s="4" t="s">
        <v>40</v>
      </c>
      <c r="C28" s="332">
        <f ca="1">IF(C11&gt;0,C21/C11*1000," ")</f>
        <v>1000</v>
      </c>
      <c r="D28" s="332">
        <f t="shared" ref="D28:H28" ca="1" si="5">IF(D11&gt;0,D21/D11*1000," ")</f>
        <v>1000</v>
      </c>
      <c r="E28" s="332">
        <f t="shared" ca="1" si="5"/>
        <v>1000</v>
      </c>
      <c r="F28" s="332">
        <f t="shared" ca="1" si="5"/>
        <v>1000</v>
      </c>
      <c r="G28" s="332">
        <f t="shared" ca="1" si="5"/>
        <v>1000</v>
      </c>
      <c r="H28" s="332">
        <f t="shared" ca="1" si="5"/>
        <v>1000</v>
      </c>
      <c r="I28" s="236"/>
      <c r="J28" s="24"/>
      <c r="K28" s="25"/>
      <c r="L28" s="25"/>
      <c r="M28" s="25"/>
      <c r="N28" s="25"/>
      <c r="O28" s="25"/>
      <c r="P28" s="25"/>
      <c r="Q28" s="11"/>
      <c r="R28" s="10"/>
      <c r="S28" s="10"/>
      <c r="T28" s="6"/>
    </row>
    <row r="29" spans="1:20" ht="20.100000000000001" customHeight="1">
      <c r="A29" s="39" t="s">
        <v>39</v>
      </c>
      <c r="B29" s="40" t="s">
        <v>40</v>
      </c>
      <c r="C29" s="333">
        <f ca="1">IF(C11&gt;0,C23/C11*1000," ")</f>
        <v>4203.7145313843503</v>
      </c>
      <c r="D29" s="333">
        <f t="shared" ref="D29:H29" ca="1" si="6">IF(D11&gt;0,D23/D11*1000," ")</f>
        <v>3830.5316305316305</v>
      </c>
      <c r="E29" s="333">
        <f t="shared" ca="1" si="6"/>
        <v>4230.7241278217525</v>
      </c>
      <c r="F29" s="333">
        <f t="shared" ca="1" si="6"/>
        <v>3925.2455156603369</v>
      </c>
      <c r="G29" s="333">
        <f t="shared" ca="1" si="6"/>
        <v>4232.4466116097346</v>
      </c>
      <c r="H29" s="408">
        <f t="shared" ca="1" si="6"/>
        <v>4174.867048546078</v>
      </c>
      <c r="I29" s="236"/>
      <c r="K29" s="6"/>
      <c r="L29" s="6"/>
      <c r="M29" s="6"/>
      <c r="N29" s="6"/>
      <c r="O29" s="6"/>
      <c r="P29" s="6"/>
      <c r="Q29" s="6"/>
      <c r="R29" s="6"/>
      <c r="S29" s="6"/>
    </row>
    <row r="30" spans="1:20" ht="20.100000000000001" customHeight="1">
      <c r="A30" s="41"/>
      <c r="B30" s="41"/>
      <c r="C30" s="42"/>
      <c r="D30" s="42"/>
      <c r="E30" s="42"/>
      <c r="F30" s="42"/>
      <c r="G30" s="79"/>
      <c r="H30" s="42"/>
      <c r="K30" s="6"/>
      <c r="L30" s="6"/>
      <c r="M30" s="6"/>
      <c r="N30" s="6"/>
      <c r="O30" s="6"/>
      <c r="P30" s="6"/>
      <c r="Q30" s="6"/>
      <c r="R30" s="6"/>
      <c r="S30" s="6"/>
    </row>
    <row r="31" spans="1:20" ht="20.100000000000001" customHeight="1">
      <c r="A31" s="43" t="s">
        <v>69</v>
      </c>
      <c r="B31" s="4"/>
      <c r="C31" s="4"/>
      <c r="D31" s="4"/>
      <c r="E31" s="4"/>
      <c r="F31" s="4"/>
      <c r="G31" s="78"/>
      <c r="H31" s="4"/>
    </row>
    <row r="32" spans="1:20" ht="20.100000000000001" customHeight="1">
      <c r="A32" s="35" t="s">
        <v>201</v>
      </c>
      <c r="B32" s="36" t="s">
        <v>40</v>
      </c>
      <c r="C32" s="332">
        <f>Indtastningsark!D52</f>
        <v>80050</v>
      </c>
      <c r="D32" s="332">
        <f>Indtastningsark!E52</f>
        <v>81000</v>
      </c>
      <c r="E32" s="332">
        <f>Indtastningsark!F52</f>
        <v>77000</v>
      </c>
      <c r="F32" s="332">
        <f>Indtastningsark!G52</f>
        <v>76000</v>
      </c>
      <c r="G32" s="332">
        <f>Indtastningsark!H52</f>
        <v>75600</v>
      </c>
      <c r="H32" s="332">
        <f>Indtastningsark!I52</f>
        <v>75100</v>
      </c>
      <c r="I32" s="7"/>
    </row>
    <row r="33" spans="1:20" ht="20.100000000000001" customHeight="1">
      <c r="A33" s="38" t="s">
        <v>200</v>
      </c>
      <c r="B33" s="4" t="s">
        <v>40</v>
      </c>
      <c r="C33" s="332">
        <f>Indtastningsark!D53</f>
        <v>278000</v>
      </c>
      <c r="D33" s="332">
        <f>Indtastningsark!E53</f>
        <v>275000</v>
      </c>
      <c r="E33" s="332">
        <f>Indtastningsark!F53</f>
        <v>270000</v>
      </c>
      <c r="F33" s="332">
        <f>Indtastningsark!G53</f>
        <v>151000</v>
      </c>
      <c r="G33" s="332">
        <f>Indtastningsark!H53</f>
        <v>148000</v>
      </c>
      <c r="H33" s="332">
        <f>Indtastningsark!I53</f>
        <v>126000</v>
      </c>
      <c r="I33" s="7"/>
    </row>
    <row r="34" spans="1:20" ht="20.100000000000001" customHeight="1">
      <c r="A34" s="4" t="s">
        <v>203</v>
      </c>
      <c r="B34" s="4" t="s">
        <v>40</v>
      </c>
      <c r="C34" s="332">
        <f>Indtastningsark!D54</f>
        <v>0</v>
      </c>
      <c r="D34" s="332">
        <f>Indtastningsark!E54</f>
        <v>0</v>
      </c>
      <c r="E34" s="332">
        <f>Indtastningsark!F54</f>
        <v>0</v>
      </c>
      <c r="F34" s="340">
        <f>Indtastningsark!G54</f>
        <v>0</v>
      </c>
      <c r="G34" s="340">
        <f>Indtastningsark!H54</f>
        <v>0</v>
      </c>
      <c r="H34" s="340">
        <f>Indtastningsark!I54</f>
        <v>0</v>
      </c>
      <c r="I34" s="7"/>
    </row>
    <row r="35" spans="1:20" ht="20.100000000000001" customHeight="1">
      <c r="A35" s="37" t="s">
        <v>80</v>
      </c>
      <c r="B35" s="55" t="s">
        <v>40</v>
      </c>
      <c r="C35" s="332">
        <f>SUM(C32:C34)</f>
        <v>358050</v>
      </c>
      <c r="D35" s="332">
        <f t="shared" ref="D35:E35" si="7">SUM(D32:D34)</f>
        <v>356000</v>
      </c>
      <c r="E35" s="332">
        <f t="shared" si="7"/>
        <v>347000</v>
      </c>
      <c r="F35" s="340">
        <f t="shared" ref="F35:H35" si="8">SUM(F32:F34)</f>
        <v>227000</v>
      </c>
      <c r="G35" s="340">
        <f t="shared" si="8"/>
        <v>223600</v>
      </c>
      <c r="H35" s="340">
        <f t="shared" si="8"/>
        <v>201100</v>
      </c>
      <c r="I35" s="7"/>
    </row>
    <row r="36" spans="1:20" ht="20.100000000000001" customHeight="1">
      <c r="A36" s="44" t="s">
        <v>81</v>
      </c>
      <c r="B36" s="45" t="s">
        <v>40</v>
      </c>
      <c r="C36" s="145">
        <f>IF(C10&gt;0,(C32)/C11," ")</f>
        <v>213.46666666666667</v>
      </c>
      <c r="D36" s="145">
        <f t="shared" ref="D36:H36" si="9">IF(D10&gt;0,(D32)/D11," ")</f>
        <v>214.85411140583554</v>
      </c>
      <c r="E36" s="145">
        <f t="shared" si="9"/>
        <v>203.16622691292875</v>
      </c>
      <c r="F36" s="145">
        <f t="shared" si="9"/>
        <v>198.95287958115182</v>
      </c>
      <c r="G36" s="145">
        <f t="shared" si="9"/>
        <v>199.47229551451187</v>
      </c>
      <c r="H36" s="145">
        <f t="shared" si="9"/>
        <v>198.15303430079155</v>
      </c>
      <c r="I36" s="7"/>
      <c r="J36"/>
      <c r="K36"/>
      <c r="L36"/>
      <c r="M36"/>
      <c r="N36"/>
      <c r="O36"/>
      <c r="P36"/>
      <c r="Q36"/>
    </row>
    <row r="37" spans="1:20" ht="20.100000000000001" customHeight="1">
      <c r="A37" s="46" t="s">
        <v>82</v>
      </c>
      <c r="B37" s="45" t="s">
        <v>40</v>
      </c>
      <c r="C37" s="145">
        <f>IF(C11&gt;0,(C33+C34)/C11," ")</f>
        <v>741.33333333333337</v>
      </c>
      <c r="D37" s="145">
        <f>IF(D11&gt;0,(D33+D34)/D11," ")</f>
        <v>729.44297082228115</v>
      </c>
      <c r="E37" s="145">
        <f t="shared" ref="E37:H37" si="10">IF(E11&gt;0,(E33+E34)/E11," ")</f>
        <v>712.40105540897093</v>
      </c>
      <c r="F37" s="145">
        <f t="shared" si="10"/>
        <v>395.28795811518324</v>
      </c>
      <c r="G37" s="145">
        <f t="shared" si="10"/>
        <v>390.50131926121372</v>
      </c>
      <c r="H37" s="145">
        <f t="shared" si="10"/>
        <v>332.4538258575198</v>
      </c>
      <c r="I37" s="7"/>
      <c r="J37"/>
      <c r="K37"/>
      <c r="L37"/>
      <c r="M37"/>
      <c r="N37"/>
      <c r="O37"/>
      <c r="P37"/>
      <c r="Q37"/>
      <c r="R37" s="11"/>
      <c r="S37" s="12"/>
      <c r="T37" s="6"/>
    </row>
    <row r="38" spans="1:20" ht="20.100000000000001" customHeight="1">
      <c r="A38" s="47" t="s">
        <v>94</v>
      </c>
      <c r="B38" s="361" t="s">
        <v>40</v>
      </c>
      <c r="C38" s="335">
        <f>SUM(C36:C37)</f>
        <v>954.80000000000007</v>
      </c>
      <c r="D38" s="335">
        <f t="shared" ref="D38:H38" si="11">SUM(D36:D37)</f>
        <v>944.29708222811666</v>
      </c>
      <c r="E38" s="335">
        <f t="shared" si="11"/>
        <v>915.56728232189971</v>
      </c>
      <c r="F38" s="335">
        <f t="shared" si="11"/>
        <v>594.24083769633512</v>
      </c>
      <c r="G38" s="335">
        <f t="shared" si="11"/>
        <v>589.97361477572554</v>
      </c>
      <c r="H38" s="409">
        <f t="shared" si="11"/>
        <v>530.60686015831129</v>
      </c>
      <c r="I38" s="7"/>
      <c r="J38"/>
      <c r="K38"/>
      <c r="L38"/>
      <c r="M38"/>
      <c r="N38"/>
      <c r="O38"/>
      <c r="P38"/>
      <c r="Q38"/>
      <c r="R38" s="11"/>
      <c r="S38" s="12"/>
      <c r="T38" s="6"/>
    </row>
    <row r="39" spans="1:20" ht="20.100000000000001" customHeight="1">
      <c r="A39" s="45" t="s">
        <v>224</v>
      </c>
      <c r="B39" s="48"/>
      <c r="C39" s="335"/>
      <c r="D39" s="335"/>
      <c r="E39" s="335"/>
      <c r="F39" s="335"/>
      <c r="G39" s="335"/>
      <c r="H39" s="335"/>
      <c r="I39" s="6"/>
      <c r="J39"/>
      <c r="K39"/>
      <c r="L39"/>
      <c r="M39"/>
      <c r="N39"/>
      <c r="O39"/>
      <c r="P39"/>
      <c r="Q39"/>
      <c r="R39" s="11"/>
      <c r="S39" s="12"/>
      <c r="T39" s="6"/>
    </row>
    <row r="40" spans="1:20" ht="20.100000000000001" customHeight="1">
      <c r="A40" s="48" t="s">
        <v>223</v>
      </c>
      <c r="B40" s="48" t="s">
        <v>40</v>
      </c>
      <c r="C40" s="335">
        <f>C35/C10</f>
        <v>24.030201342281877</v>
      </c>
      <c r="D40" s="335">
        <f t="shared" ref="D40:H40" si="12">D35/D10</f>
        <v>23.892617449664428</v>
      </c>
      <c r="E40" s="335">
        <f t="shared" si="12"/>
        <v>23.288590604026847</v>
      </c>
      <c r="F40" s="335">
        <f t="shared" si="12"/>
        <v>15.234899328859061</v>
      </c>
      <c r="G40" s="335">
        <f t="shared" si="12"/>
        <v>15.006711409395972</v>
      </c>
      <c r="H40" s="335">
        <f t="shared" si="12"/>
        <v>13.496644295302014</v>
      </c>
      <c r="I40" s="6"/>
      <c r="J40"/>
      <c r="K40"/>
      <c r="L40"/>
      <c r="M40"/>
      <c r="N40"/>
      <c r="O40"/>
      <c r="P40"/>
      <c r="Q40"/>
      <c r="R40" s="11"/>
      <c r="S40" s="12"/>
      <c r="T40" s="6"/>
    </row>
    <row r="41" spans="1:20" ht="20.100000000000001" customHeight="1">
      <c r="A41" s="36"/>
      <c r="B41" s="36"/>
      <c r="C41" s="36"/>
      <c r="D41" s="36"/>
      <c r="E41" s="36"/>
      <c r="F41" s="36"/>
      <c r="G41" s="77"/>
      <c r="H41" s="36"/>
      <c r="J41"/>
      <c r="K41"/>
      <c r="L41"/>
      <c r="M41"/>
      <c r="N41"/>
      <c r="O41"/>
      <c r="P41"/>
      <c r="Q41"/>
    </row>
    <row r="42" spans="1:20" ht="20.100000000000001" customHeight="1">
      <c r="A42" s="32" t="s">
        <v>70</v>
      </c>
      <c r="B42" s="4"/>
      <c r="C42" s="4"/>
      <c r="D42" s="4"/>
      <c r="E42" s="4"/>
      <c r="F42" s="4"/>
      <c r="G42" s="78"/>
      <c r="H42" s="4"/>
      <c r="J42"/>
      <c r="K42"/>
      <c r="L42"/>
      <c r="M42"/>
      <c r="N42"/>
      <c r="O42"/>
      <c r="P42"/>
      <c r="Q42"/>
    </row>
    <row r="43" spans="1:20" ht="20.100000000000001" customHeight="1">
      <c r="A43" s="35" t="s">
        <v>65</v>
      </c>
      <c r="B43" s="36" t="s">
        <v>99</v>
      </c>
      <c r="C43" s="139">
        <f>Indtastningsark!D56</f>
        <v>11980</v>
      </c>
      <c r="D43" s="139">
        <f>Indtastningsark!E56</f>
        <v>11440</v>
      </c>
      <c r="E43" s="139">
        <f>Indtastningsark!F56</f>
        <v>12040</v>
      </c>
      <c r="F43" s="139">
        <f>Indtastningsark!G56</f>
        <v>12020</v>
      </c>
      <c r="G43" s="139">
        <f>Indtastningsark!H56</f>
        <v>11600</v>
      </c>
      <c r="H43" s="139">
        <f>Indtastningsark!I56</f>
        <v>11750</v>
      </c>
      <c r="I43" s="7"/>
      <c r="J43"/>
      <c r="K43"/>
      <c r="L43"/>
      <c r="M43"/>
      <c r="N43"/>
      <c r="O43"/>
      <c r="P43"/>
      <c r="Q43"/>
    </row>
    <row r="44" spans="1:20" ht="20.100000000000001" customHeight="1">
      <c r="A44" s="38" t="s">
        <v>162</v>
      </c>
      <c r="B44" s="5" t="s">
        <v>99</v>
      </c>
      <c r="C44" s="139">
        <f>'BASIS-X-regneark '!C35</f>
        <v>0</v>
      </c>
      <c r="D44" s="139">
        <f>'BASIS-X-regneark '!D35</f>
        <v>0</v>
      </c>
      <c r="E44" s="139">
        <f>'BASIS-X-regneark '!E35</f>
        <v>0</v>
      </c>
      <c r="F44" s="139">
        <f>'BASIS-X-regneark '!F35</f>
        <v>0</v>
      </c>
      <c r="G44" s="139">
        <f>'BASIS-X-regneark '!G35</f>
        <v>0</v>
      </c>
      <c r="H44" s="139">
        <f>'BASIS-X-regneark '!H35</f>
        <v>0</v>
      </c>
      <c r="I44" s="7"/>
      <c r="J44"/>
      <c r="K44"/>
      <c r="L44"/>
      <c r="M44"/>
      <c r="N44"/>
      <c r="O44"/>
      <c r="P44"/>
      <c r="Q44"/>
    </row>
    <row r="45" spans="1:20" s="325" customFormat="1" ht="20.100000000000001" customHeight="1">
      <c r="A45" s="37" t="s">
        <v>83</v>
      </c>
      <c r="B45" s="15" t="s">
        <v>99</v>
      </c>
      <c r="C45" s="139">
        <f>IF(Indtastningsark!$I$16=7,Indtastningsark!D56*0.3,IF(Indtastningsark!D57&gt;0,Indtastningsark!D57,1*C11*860/(65-10)))</f>
        <v>5863.636363636364</v>
      </c>
      <c r="D45" s="139">
        <f>IF(Indtastningsark!$I$16=7,Indtastningsark!E56*0.3,IF(Indtastningsark!E57&gt;0,Indtastningsark!E57,1*D11*860/(65-10)))</f>
        <v>5894.909090909091</v>
      </c>
      <c r="E45" s="139">
        <f>IF(Indtastningsark!$I$16=7,Indtastningsark!F56*0.3,IF(Indtastningsark!F57&gt;0,Indtastningsark!F57,1*E11*860/(65-10)))</f>
        <v>5926.181818181818</v>
      </c>
      <c r="F45" s="139">
        <f>IF(Indtastningsark!$I$16=7,Indtastningsark!G56*0.3,IF(Indtastningsark!G57&gt;0,Indtastningsark!G57,1*F11*860/(65-10)))</f>
        <v>5973.090909090909</v>
      </c>
      <c r="G45" s="139">
        <f>IF(Indtastningsark!$I$16=7,Indtastningsark!H56*0.3,IF(Indtastningsark!H57&gt;0,Indtastningsark!H57,1*G11*860/(65-10)))</f>
        <v>5926.181818181818</v>
      </c>
      <c r="H45" s="327">
        <f>IF(Indtastningsark!$I$16=7,Indtastningsark!I56*0.3,IF(Indtastningsark!I57&gt;0,Indtastningsark!I57,1*H11*860/(65-10)))</f>
        <v>5926.181818181818</v>
      </c>
      <c r="I45" s="326">
        <f>IF(Indtastningsark!O16=7,O15*0.3,IF(Indtastningsark!J57&gt;0,Indtastningsark!J57,1*I11*860/(65-10)))</f>
        <v>0</v>
      </c>
      <c r="J45" s="321"/>
      <c r="K45" s="321"/>
      <c r="L45" s="321"/>
      <c r="M45" s="321"/>
      <c r="N45" s="321"/>
      <c r="O45" s="321"/>
      <c r="P45" s="321"/>
      <c r="Q45" s="321"/>
    </row>
    <row r="46" spans="1:20" ht="20.100000000000001" customHeight="1">
      <c r="A46" s="38" t="s">
        <v>42</v>
      </c>
      <c r="B46" s="5" t="s">
        <v>99</v>
      </c>
      <c r="C46" s="145">
        <f t="shared" ref="C46:H46" si="13">IF(C11&gt;0,(C43+C44-C45)/C11," ")</f>
        <v>16.310303030303029</v>
      </c>
      <c r="D46" s="145">
        <f t="shared" si="13"/>
        <v>14.70846394984326</v>
      </c>
      <c r="E46" s="145">
        <f t="shared" si="13"/>
        <v>16.131446390021587</v>
      </c>
      <c r="F46" s="145">
        <f t="shared" si="13"/>
        <v>15.829604950023798</v>
      </c>
      <c r="G46" s="145">
        <f t="shared" si="13"/>
        <v>14.970496521947709</v>
      </c>
      <c r="H46" s="146">
        <f t="shared" si="13"/>
        <v>15.366274886063804</v>
      </c>
      <c r="I46" s="7"/>
      <c r="J46"/>
      <c r="K46"/>
      <c r="L46"/>
      <c r="M46"/>
      <c r="N46"/>
      <c r="O46"/>
      <c r="P46"/>
      <c r="Q46"/>
    </row>
    <row r="47" spans="1:20" ht="20.100000000000001" customHeight="1">
      <c r="A47" s="38" t="s">
        <v>38</v>
      </c>
      <c r="B47" s="5" t="s">
        <v>99</v>
      </c>
      <c r="C47" s="145">
        <f t="shared" ref="C47:H47" si="14">IF(C11&gt;0,C45/C11," ")</f>
        <v>15.636363636363637</v>
      </c>
      <c r="D47" s="145">
        <f t="shared" si="14"/>
        <v>15.636363636363637</v>
      </c>
      <c r="E47" s="145">
        <f t="shared" si="14"/>
        <v>15.636363636363637</v>
      </c>
      <c r="F47" s="145">
        <f t="shared" si="14"/>
        <v>15.636363636363637</v>
      </c>
      <c r="G47" s="145">
        <f t="shared" si="14"/>
        <v>15.636363636363637</v>
      </c>
      <c r="H47" s="146">
        <f t="shared" si="14"/>
        <v>15.636363636363637</v>
      </c>
      <c r="I47" s="7"/>
      <c r="J47"/>
      <c r="K47"/>
      <c r="L47"/>
      <c r="M47"/>
      <c r="N47"/>
      <c r="O47"/>
      <c r="P47"/>
      <c r="Q47"/>
    </row>
    <row r="48" spans="1:20" ht="20.100000000000001" customHeight="1">
      <c r="A48" s="56" t="s">
        <v>43</v>
      </c>
      <c r="B48" s="41" t="s">
        <v>100</v>
      </c>
      <c r="C48" s="174">
        <f t="shared" ref="C48:H48" si="15">SUM(C46:C47)</f>
        <v>31.946666666666665</v>
      </c>
      <c r="D48" s="174">
        <f t="shared" si="15"/>
        <v>30.344827586206897</v>
      </c>
      <c r="E48" s="174">
        <f t="shared" si="15"/>
        <v>31.767810026385224</v>
      </c>
      <c r="F48" s="174">
        <f t="shared" si="15"/>
        <v>31.465968586387433</v>
      </c>
      <c r="G48" s="174">
        <f t="shared" si="15"/>
        <v>30.606860158311346</v>
      </c>
      <c r="H48" s="175">
        <f t="shared" si="15"/>
        <v>31.002638522427439</v>
      </c>
      <c r="I48" s="7"/>
      <c r="J48"/>
      <c r="K48"/>
      <c r="L48"/>
      <c r="M48"/>
      <c r="N48"/>
      <c r="O48"/>
      <c r="P48"/>
      <c r="Q48"/>
    </row>
    <row r="49" spans="1:20" ht="20.100000000000001" customHeight="1">
      <c r="A49" s="89" t="s">
        <v>44</v>
      </c>
      <c r="B49" s="85" t="s">
        <v>33</v>
      </c>
      <c r="C49" s="147">
        <f t="shared" ref="C49:H49" si="16">C48*1000/365</f>
        <v>87.525114155251131</v>
      </c>
      <c r="D49" s="147">
        <f t="shared" si="16"/>
        <v>83.136513934813422</v>
      </c>
      <c r="E49" s="147">
        <f t="shared" si="16"/>
        <v>87.035095962699245</v>
      </c>
      <c r="F49" s="147">
        <f t="shared" si="16"/>
        <v>86.208133113390232</v>
      </c>
      <c r="G49" s="147">
        <f t="shared" si="16"/>
        <v>83.854411392633821</v>
      </c>
      <c r="H49" s="148">
        <f t="shared" si="16"/>
        <v>84.938735677883386</v>
      </c>
      <c r="I49" s="7"/>
      <c r="J49"/>
      <c r="K49"/>
      <c r="L49"/>
      <c r="M49"/>
      <c r="N49"/>
      <c r="O49"/>
      <c r="P49"/>
      <c r="Q49"/>
      <c r="R49" s="6"/>
      <c r="S49" s="6"/>
      <c r="T49" s="6"/>
    </row>
    <row r="50" spans="1:20" ht="20.100000000000001" customHeight="1">
      <c r="A50" s="4"/>
      <c r="B50" s="36"/>
      <c r="C50" s="36"/>
      <c r="D50" s="36"/>
      <c r="E50" s="36"/>
      <c r="F50" s="36"/>
      <c r="G50" s="77"/>
      <c r="H50" s="36"/>
      <c r="J50"/>
      <c r="K50"/>
      <c r="L50"/>
      <c r="M50"/>
      <c r="N50"/>
      <c r="O50"/>
      <c r="P50"/>
      <c r="Q50"/>
      <c r="R50" s="6"/>
      <c r="S50" s="6"/>
    </row>
    <row r="51" spans="1:20" ht="20.100000000000001" customHeight="1">
      <c r="A51" s="32" t="s">
        <v>71</v>
      </c>
      <c r="B51" s="4"/>
      <c r="C51" s="4"/>
      <c r="D51" s="4"/>
      <c r="E51" s="4"/>
      <c r="F51" s="4"/>
      <c r="G51" s="78"/>
      <c r="H51" s="4"/>
    </row>
    <row r="52" spans="1:20" ht="20.100000000000001" customHeight="1">
      <c r="A52" s="35" t="s">
        <v>13</v>
      </c>
      <c r="B52" s="36" t="s">
        <v>45</v>
      </c>
      <c r="C52" s="139">
        <f>Indtastningsark!D59</f>
        <v>115.6</v>
      </c>
      <c r="D52" s="139">
        <f>Indtastningsark!E59</f>
        <v>118</v>
      </c>
      <c r="E52" s="139">
        <f>Indtastningsark!F59</f>
        <v>107</v>
      </c>
      <c r="F52" s="139">
        <f>Indtastningsark!G59</f>
        <v>109</v>
      </c>
      <c r="G52" s="139">
        <f>Indtastningsark!H59</f>
        <v>99</v>
      </c>
      <c r="H52" s="139">
        <f>Indtastningsark!I59</f>
        <v>95</v>
      </c>
      <c r="I52" s="7"/>
    </row>
    <row r="53" spans="1:20" ht="19.5" customHeight="1">
      <c r="A53" s="38" t="s">
        <v>16</v>
      </c>
      <c r="B53" s="5" t="s">
        <v>45</v>
      </c>
      <c r="C53" s="139">
        <f>Indtastningsark!D60</f>
        <v>12.7</v>
      </c>
      <c r="D53" s="139">
        <f>Indtastningsark!E60</f>
        <v>13.1</v>
      </c>
      <c r="E53" s="139">
        <f>Indtastningsark!F60</f>
        <v>14.2</v>
      </c>
      <c r="F53" s="139">
        <f>Indtastningsark!G60</f>
        <v>14.7</v>
      </c>
      <c r="G53" s="139">
        <f>Indtastningsark!H60</f>
        <v>17.7</v>
      </c>
      <c r="H53" s="139">
        <f>Indtastningsark!I60</f>
        <v>17.5</v>
      </c>
      <c r="I53" s="7"/>
    </row>
    <row r="54" spans="1:20" ht="20.100000000000001" customHeight="1">
      <c r="A54" s="38" t="s">
        <v>93</v>
      </c>
      <c r="B54" s="5" t="s">
        <v>45</v>
      </c>
      <c r="C54" s="139">
        <f>Indtastningsark!D61</f>
        <v>4.0999999999999996</v>
      </c>
      <c r="D54" s="139">
        <f>Indtastningsark!E61</f>
        <v>4</v>
      </c>
      <c r="E54" s="139">
        <f>Indtastningsark!F61</f>
        <v>6.4</v>
      </c>
      <c r="F54" s="139">
        <f>Indtastningsark!G61</f>
        <v>5.94</v>
      </c>
      <c r="G54" s="139">
        <f>Indtastningsark!H61</f>
        <v>6</v>
      </c>
      <c r="H54" s="139">
        <f>Indtastningsark!I61</f>
        <v>6</v>
      </c>
      <c r="I54" s="7"/>
    </row>
    <row r="55" spans="1:20" ht="19.5" customHeight="1">
      <c r="A55" s="37" t="s">
        <v>17</v>
      </c>
      <c r="B55" s="15" t="s">
        <v>45</v>
      </c>
      <c r="C55" s="141">
        <f t="shared" ref="C55:H55" si="17">SUM(C52:C54)</f>
        <v>132.39999999999998</v>
      </c>
      <c r="D55" s="141">
        <f t="shared" si="17"/>
        <v>135.1</v>
      </c>
      <c r="E55" s="141">
        <f t="shared" si="17"/>
        <v>127.60000000000001</v>
      </c>
      <c r="F55" s="141">
        <f t="shared" si="17"/>
        <v>129.64000000000001</v>
      </c>
      <c r="G55" s="141">
        <f t="shared" si="17"/>
        <v>122.7</v>
      </c>
      <c r="H55" s="142">
        <f t="shared" si="17"/>
        <v>118.5</v>
      </c>
      <c r="I55" s="7"/>
    </row>
    <row r="56" spans="1:20" ht="20.100000000000001" customHeight="1">
      <c r="A56" s="35" t="s">
        <v>18</v>
      </c>
      <c r="B56" s="36" t="s">
        <v>49</v>
      </c>
      <c r="C56" s="145">
        <f t="shared" ref="C56:H56" si="18">IF(C11&gt;0,C52*1000/C11," ")</f>
        <v>308.26666666666665</v>
      </c>
      <c r="D56" s="145">
        <f t="shared" si="18"/>
        <v>312.9973474801061</v>
      </c>
      <c r="E56" s="145">
        <f t="shared" si="18"/>
        <v>282.32189973614777</v>
      </c>
      <c r="F56" s="145">
        <f t="shared" si="18"/>
        <v>285.34031413612564</v>
      </c>
      <c r="G56" s="145">
        <f t="shared" si="18"/>
        <v>261.2137203166227</v>
      </c>
      <c r="H56" s="146">
        <f t="shared" si="18"/>
        <v>250.65963060686016</v>
      </c>
      <c r="I56" s="7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20.100000000000001" customHeight="1">
      <c r="A57" s="38" t="s">
        <v>19</v>
      </c>
      <c r="B57" s="4" t="s">
        <v>49</v>
      </c>
      <c r="C57" s="145">
        <f t="shared" ref="C57:H57" si="19">IF(C11&gt;0,(C53+C54)*1000/C11," ")</f>
        <v>44.79999999999999</v>
      </c>
      <c r="D57" s="145">
        <f t="shared" si="19"/>
        <v>45.358090185676396</v>
      </c>
      <c r="E57" s="145">
        <f t="shared" si="19"/>
        <v>54.353562005277048</v>
      </c>
      <c r="F57" s="145">
        <f t="shared" si="19"/>
        <v>54.031413612565444</v>
      </c>
      <c r="G57" s="145">
        <f t="shared" si="19"/>
        <v>62.532981530343008</v>
      </c>
      <c r="H57" s="146">
        <f t="shared" si="19"/>
        <v>62.005277044854878</v>
      </c>
      <c r="I57" s="7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20.100000000000001" customHeight="1">
      <c r="A58" s="39" t="s">
        <v>15</v>
      </c>
      <c r="B58" s="49" t="s">
        <v>49</v>
      </c>
      <c r="C58" s="149">
        <f t="shared" ref="C58:H58" si="20">IF(C11&gt;0,C55/C11*1000," ")</f>
        <v>353.06666666666661</v>
      </c>
      <c r="D58" s="149">
        <f t="shared" si="20"/>
        <v>358.35543766578246</v>
      </c>
      <c r="E58" s="149">
        <f t="shared" si="20"/>
        <v>336.67546174142484</v>
      </c>
      <c r="F58" s="149">
        <f t="shared" si="20"/>
        <v>339.37172774869111</v>
      </c>
      <c r="G58" s="149">
        <f t="shared" si="20"/>
        <v>323.74670184696566</v>
      </c>
      <c r="H58" s="150">
        <f t="shared" si="20"/>
        <v>312.66490765171505</v>
      </c>
      <c r="I58" s="7"/>
      <c r="K58" s="6"/>
      <c r="L58" s="6"/>
      <c r="M58" s="6"/>
      <c r="N58" s="6"/>
      <c r="O58" s="6"/>
      <c r="P58" s="6"/>
      <c r="Q58" s="6"/>
      <c r="R58" s="6"/>
      <c r="S58" s="6"/>
    </row>
    <row r="59" spans="1:20" ht="20.100000000000001" customHeight="1">
      <c r="A59" s="33"/>
      <c r="B59" s="33"/>
      <c r="C59" s="100"/>
      <c r="D59" s="33"/>
      <c r="E59" s="33"/>
      <c r="F59" s="33"/>
      <c r="G59" s="80"/>
      <c r="H59" s="33"/>
      <c r="I59" s="6"/>
      <c r="K59" s="6"/>
      <c r="L59" s="6"/>
      <c r="M59" s="6"/>
      <c r="N59" s="6"/>
      <c r="O59" s="6"/>
      <c r="P59" s="6"/>
      <c r="Q59" s="6"/>
      <c r="R59" s="6"/>
      <c r="S59" s="6"/>
    </row>
    <row r="60" spans="1:20" ht="20.100000000000001" customHeight="1">
      <c r="A60" s="32" t="s">
        <v>106</v>
      </c>
      <c r="B60" s="4"/>
      <c r="C60" s="4"/>
      <c r="D60" s="4"/>
      <c r="E60" s="4"/>
      <c r="F60" s="4"/>
      <c r="G60" s="78"/>
      <c r="H60" s="4"/>
      <c r="J60"/>
      <c r="K60"/>
      <c r="L60"/>
      <c r="M60"/>
      <c r="N60"/>
      <c r="O60"/>
      <c r="P60"/>
      <c r="Q60"/>
    </row>
    <row r="61" spans="1:20" ht="20.100000000000001" customHeight="1">
      <c r="A61" s="35" t="s">
        <v>111</v>
      </c>
      <c r="B61" s="36" t="s">
        <v>45</v>
      </c>
      <c r="C61" s="262">
        <f>(Indtastningsark!D44*Indtastningsark!D36+Indtastningsark!D45*2.7+Indtastningsark!D46*2.2+(Indtastningsark!D47+Indtastningsark!D48)*Indtastningsark!D37/1000)/1000</f>
        <v>89.858159999999998</v>
      </c>
      <c r="D61" s="165">
        <f>(Indtastningsark!E44*Indtastningsark!E36+Indtastningsark!E45*2.7+Indtastningsark!E46*2.2+(Indtastningsark!E47+Indtastningsark!E48)*Indtastningsark!E37/1000)/1000</f>
        <v>76.264560000000003</v>
      </c>
      <c r="E61" s="165">
        <f>(Indtastningsark!F44*Indtastningsark!F36+Indtastningsark!F45*2.7+Indtastningsark!F46*2.2+(Indtastningsark!F47+Indtastningsark!F48)*Indtastningsark!F37/1000)/1000</f>
        <v>78.741504000000006</v>
      </c>
      <c r="F61" s="165">
        <f>(Indtastningsark!G44*Indtastningsark!G36+Indtastningsark!G45*2.7+Indtastningsark!G46*2.2+(Indtastningsark!G47+Indtastningsark!G48)*Indtastningsark!G37/1000)/1000</f>
        <v>68.965847999999994</v>
      </c>
      <c r="G61" s="165">
        <f>(Indtastningsark!H44*Indtastningsark!H36+Indtastningsark!H45*2.7+Indtastningsark!H46*2.2+(Indtastningsark!H47+Indtastningsark!H48)*Indtastningsark!H37/1000)/1000</f>
        <v>70.522199999999998</v>
      </c>
      <c r="H61" s="165">
        <f>(Indtastningsark!I44*Indtastningsark!I36+Indtastningsark!I45*2.7+Indtastningsark!I46*2.2+(Indtastningsark!I47+Indtastningsark!I48)*Indtastningsark!I37/1000)/1000</f>
        <v>67.117680000000007</v>
      </c>
      <c r="I61" s="6"/>
      <c r="J61"/>
      <c r="K61"/>
      <c r="L61"/>
      <c r="M61"/>
      <c r="N61"/>
      <c r="O61"/>
      <c r="P61"/>
      <c r="Q61"/>
      <c r="R61" s="13"/>
      <c r="S61" s="13"/>
      <c r="T61" s="6"/>
    </row>
    <row r="62" spans="1:20" ht="20.100000000000001" customHeight="1">
      <c r="A62" s="38" t="s">
        <v>112</v>
      </c>
      <c r="B62" s="5" t="s">
        <v>45</v>
      </c>
      <c r="C62" s="332">
        <f>C35*Indtastningsark!D37/1000000</f>
        <v>44.756250000000001</v>
      </c>
      <c r="D62" s="332">
        <f>D35*Indtastningsark!E37/1000000</f>
        <v>48.415999999999997</v>
      </c>
      <c r="E62" s="332">
        <f>E35*Indtastningsark!F37/1000000</f>
        <v>43.027999999999999</v>
      </c>
      <c r="F62" s="332">
        <f>F35*Indtastningsark!G37/1000000</f>
        <v>21.792000000000002</v>
      </c>
      <c r="G62" s="332">
        <f>G35*Indtastningsark!H37/1000000</f>
        <v>14.0868</v>
      </c>
      <c r="H62" s="340">
        <f>H35*Indtastningsark!I37/1000000</f>
        <v>11.060499999999999</v>
      </c>
      <c r="I62" s="6"/>
      <c r="J62"/>
      <c r="K62"/>
      <c r="L62"/>
      <c r="M62"/>
      <c r="N62"/>
      <c r="O62"/>
      <c r="P62"/>
      <c r="Q62"/>
      <c r="R62" s="13"/>
      <c r="S62" s="13"/>
      <c r="T62" s="6"/>
    </row>
    <row r="63" spans="1:20" ht="20.100000000000001" customHeight="1">
      <c r="A63" s="37" t="s">
        <v>101</v>
      </c>
      <c r="B63" s="15" t="s">
        <v>45</v>
      </c>
      <c r="C63" s="332">
        <f t="shared" ref="C63" si="21">SUM(C61:C62)</f>
        <v>134.61440999999999</v>
      </c>
      <c r="D63" s="332">
        <f t="shared" ref="D63:H63" si="22">SUM(D61:D62)</f>
        <v>124.68056</v>
      </c>
      <c r="E63" s="332">
        <f t="shared" si="22"/>
        <v>121.76950400000001</v>
      </c>
      <c r="F63" s="332">
        <f>SUM(F61:F62)</f>
        <v>90.757847999999996</v>
      </c>
      <c r="G63" s="332">
        <f t="shared" si="22"/>
        <v>84.608999999999995</v>
      </c>
      <c r="H63" s="340">
        <f t="shared" si="22"/>
        <v>78.178180000000012</v>
      </c>
      <c r="I63" s="6"/>
      <c r="J63"/>
      <c r="K63"/>
      <c r="L63"/>
      <c r="M63"/>
      <c r="N63"/>
      <c r="O63"/>
      <c r="P63"/>
      <c r="Q63"/>
      <c r="R63" s="6"/>
      <c r="S63" s="6"/>
    </row>
    <row r="64" spans="1:20" ht="20.100000000000001" customHeight="1">
      <c r="A64" s="35" t="s">
        <v>109</v>
      </c>
      <c r="B64" s="50" t="s">
        <v>49</v>
      </c>
      <c r="C64" s="145">
        <f t="shared" ref="C64:H64" si="23">IF(C11&gt;0,C61/C11*1000," ")</f>
        <v>239.62175999999999</v>
      </c>
      <c r="D64" s="145">
        <f t="shared" si="23"/>
        <v>202.2932625994695</v>
      </c>
      <c r="E64" s="145">
        <f t="shared" si="23"/>
        <v>207.76122427440635</v>
      </c>
      <c r="F64" s="145">
        <f t="shared" si="23"/>
        <v>180.53886910994763</v>
      </c>
      <c r="G64" s="145">
        <f t="shared" si="23"/>
        <v>186.0744063324538</v>
      </c>
      <c r="H64" s="146">
        <f t="shared" si="23"/>
        <v>177.09150395778366</v>
      </c>
      <c r="I64" s="6"/>
      <c r="J64"/>
      <c r="K64"/>
      <c r="L64"/>
      <c r="M64"/>
      <c r="N64"/>
      <c r="O64"/>
      <c r="P64"/>
      <c r="Q64"/>
      <c r="R64" s="6"/>
      <c r="S64" s="6"/>
    </row>
    <row r="65" spans="1:19" ht="20.100000000000001" customHeight="1">
      <c r="A65" s="38" t="s">
        <v>110</v>
      </c>
      <c r="B65" s="51" t="s">
        <v>49</v>
      </c>
      <c r="C65" s="145">
        <f t="shared" ref="C65:H65" si="24">IF(C11&gt;0,C62/C11*1000," ")</f>
        <v>119.35</v>
      </c>
      <c r="D65" s="145">
        <f t="shared" si="24"/>
        <v>128.42440318302386</v>
      </c>
      <c r="E65" s="145">
        <f t="shared" si="24"/>
        <v>113.53034300791556</v>
      </c>
      <c r="F65" s="145">
        <f t="shared" si="24"/>
        <v>57.047120418848174</v>
      </c>
      <c r="G65" s="145">
        <f t="shared" si="24"/>
        <v>37.168337730870711</v>
      </c>
      <c r="H65" s="165">
        <f t="shared" si="24"/>
        <v>29.183377308707122</v>
      </c>
      <c r="I65" s="6"/>
      <c r="J65"/>
      <c r="K65"/>
      <c r="L65"/>
      <c r="M65"/>
      <c r="N65"/>
      <c r="O65"/>
      <c r="P65"/>
      <c r="Q65"/>
      <c r="R65" s="6"/>
      <c r="S65" s="6"/>
    </row>
    <row r="66" spans="1:19" ht="20.100000000000001" customHeight="1">
      <c r="A66" s="39" t="s">
        <v>102</v>
      </c>
      <c r="B66" s="40" t="s">
        <v>49</v>
      </c>
      <c r="C66" s="348">
        <f t="shared" ref="C66:H66" si="25">IF(C11&gt;0,C63/C11*1000," ")</f>
        <v>358.97175999999996</v>
      </c>
      <c r="D66" s="348">
        <f t="shared" si="25"/>
        <v>330.71766578249333</v>
      </c>
      <c r="E66" s="348">
        <f t="shared" si="25"/>
        <v>321.29156728232192</v>
      </c>
      <c r="F66" s="348">
        <f t="shared" si="25"/>
        <v>237.58598952879581</v>
      </c>
      <c r="G66" s="348">
        <f t="shared" si="25"/>
        <v>223.24274406332452</v>
      </c>
      <c r="H66" s="407">
        <f t="shared" si="25"/>
        <v>206.27488126649081</v>
      </c>
      <c r="I66" s="6"/>
      <c r="J66"/>
      <c r="K66"/>
      <c r="L66"/>
      <c r="M66"/>
      <c r="N66"/>
      <c r="O66"/>
      <c r="P66"/>
      <c r="Q66"/>
    </row>
    <row r="67" spans="1:19" ht="20.100000000000001" customHeight="1">
      <c r="A67" s="35" t="s">
        <v>109</v>
      </c>
      <c r="B67" s="50" t="s">
        <v>49</v>
      </c>
      <c r="C67" s="143">
        <f t="shared" ref="C67:H67" si="26">IF(C10&gt;0,C61/C10*1000," ")</f>
        <v>6.03074899328859</v>
      </c>
      <c r="D67" s="143">
        <f t="shared" si="26"/>
        <v>5.1184268456375843</v>
      </c>
      <c r="E67" s="143">
        <f t="shared" si="26"/>
        <v>5.2846646979865781</v>
      </c>
      <c r="F67" s="143">
        <f t="shared" si="26"/>
        <v>4.6285804026845634</v>
      </c>
      <c r="G67" s="143">
        <f t="shared" si="26"/>
        <v>4.7330335570469799</v>
      </c>
      <c r="H67" s="144">
        <f t="shared" si="26"/>
        <v>4.5045422818791945</v>
      </c>
      <c r="I67" s="6"/>
      <c r="J67"/>
      <c r="K67"/>
      <c r="L67"/>
      <c r="M67"/>
      <c r="N67"/>
      <c r="O67"/>
      <c r="P67"/>
      <c r="Q67"/>
    </row>
    <row r="68" spans="1:19" ht="20.100000000000001" customHeight="1">
      <c r="A68" s="38" t="s">
        <v>110</v>
      </c>
      <c r="B68" s="51" t="s">
        <v>49</v>
      </c>
      <c r="C68" s="143">
        <f t="shared" ref="C68:H68" si="27">IF(C10&gt;0,C62/C10*1000," ")</f>
        <v>3.0037751677852351</v>
      </c>
      <c r="D68" s="143">
        <f t="shared" si="27"/>
        <v>3.2493959731543622</v>
      </c>
      <c r="E68" s="143">
        <f t="shared" si="27"/>
        <v>2.8877852348993285</v>
      </c>
      <c r="F68" s="143">
        <f t="shared" si="27"/>
        <v>1.4625503355704699</v>
      </c>
      <c r="G68" s="143">
        <f t="shared" si="27"/>
        <v>0.94542281879194634</v>
      </c>
      <c r="H68" s="144">
        <f t="shared" si="27"/>
        <v>0.74231543624161067</v>
      </c>
      <c r="I68" s="6"/>
      <c r="J68"/>
      <c r="K68"/>
      <c r="L68"/>
      <c r="M68"/>
      <c r="N68"/>
      <c r="O68"/>
      <c r="P68"/>
      <c r="Q68"/>
    </row>
    <row r="69" spans="1:19" ht="19.95" customHeight="1">
      <c r="A69" s="39" t="s">
        <v>218</v>
      </c>
      <c r="B69" s="40" t="s">
        <v>49</v>
      </c>
      <c r="C69" s="173">
        <f t="shared" ref="C69:H69" si="28">IF(C10&gt;0,C63/C10*1000," ")</f>
        <v>9.0345241610738256</v>
      </c>
      <c r="D69" s="173">
        <f t="shared" si="28"/>
        <v>8.3678228187919466</v>
      </c>
      <c r="E69" s="173">
        <f t="shared" si="28"/>
        <v>8.1724499328859075</v>
      </c>
      <c r="F69" s="173">
        <f t="shared" si="28"/>
        <v>6.0911307382550337</v>
      </c>
      <c r="G69" s="173">
        <f t="shared" si="28"/>
        <v>5.6784563758389259</v>
      </c>
      <c r="H69" s="173">
        <f t="shared" si="28"/>
        <v>5.2468577181208067</v>
      </c>
    </row>
    <row r="70" spans="1:19" ht="19.95" customHeight="1"/>
    <row r="71" spans="1:19" ht="15" customHeight="1"/>
    <row r="78" spans="1:19">
      <c r="A78" s="6"/>
      <c r="B78" s="6"/>
      <c r="C78" s="6"/>
      <c r="D78" s="6"/>
      <c r="E78" s="6"/>
      <c r="F78" s="6"/>
    </row>
    <row r="79" spans="1:19">
      <c r="A79" s="6"/>
      <c r="B79" s="6"/>
      <c r="C79" s="6"/>
      <c r="D79" s="6"/>
      <c r="E79" s="6"/>
      <c r="F79" s="6"/>
    </row>
    <row r="85" spans="1:6">
      <c r="A85" s="6"/>
      <c r="B85" s="6"/>
      <c r="C85" s="6"/>
      <c r="D85" s="6"/>
      <c r="E85" s="6"/>
      <c r="F85" s="6"/>
    </row>
    <row r="86" spans="1:6">
      <c r="A86" s="6"/>
      <c r="B86" s="6"/>
      <c r="C86" s="6"/>
      <c r="D86" s="6"/>
      <c r="E86" s="6"/>
      <c r="F86" s="6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</sheetData>
  <sheetProtection sheet="1" objects="1" scenarios="1"/>
  <phoneticPr fontId="35" type="noConversion"/>
  <printOptions gridLinesSet="0"/>
  <pageMargins left="0.98425196850393704" right="0.59055118110236227" top="0.39370078740157483" bottom="0.51181102362204722" header="1.1417322834645669" footer="0.39370078740157483"/>
  <pageSetup scale="55" orientation="portrait" r:id="rId1"/>
  <headerFooter alignWithMargins="0">
    <oddFooter>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B1:K5"/>
  <sheetViews>
    <sheetView topLeftCell="A26" zoomScale="120" zoomScaleNormal="120" workbookViewId="0">
      <selection activeCell="N30" sqref="N30"/>
    </sheetView>
  </sheetViews>
  <sheetFormatPr defaultRowHeight="13.2"/>
  <cols>
    <col min="1" max="1" width="1.5546875" customWidth="1"/>
    <col min="2" max="11" width="8.6640625" customWidth="1"/>
  </cols>
  <sheetData>
    <row r="1" spans="2:11" ht="22.8">
      <c r="B1" s="116" t="str">
        <f>Indtastningsark!A1</f>
        <v>Grønt Regnskab 2025</v>
      </c>
      <c r="C1" s="94"/>
      <c r="D1" s="94"/>
      <c r="E1" s="94"/>
    </row>
    <row r="2" spans="2:11" ht="17.399999999999999">
      <c r="B2" s="90" t="str">
        <f>Indtastningsark!D13</f>
        <v>Klimaparken</v>
      </c>
      <c r="J2" s="107"/>
    </row>
    <row r="3" spans="2:11" ht="17.399999999999999">
      <c r="B3" s="90"/>
      <c r="J3" s="93"/>
      <c r="K3" s="93" t="s">
        <v>133</v>
      </c>
    </row>
    <row r="4" spans="2:11" ht="12.75" customHeight="1">
      <c r="B4" s="86"/>
      <c r="I4" s="88"/>
    </row>
    <row r="5" spans="2:11">
      <c r="K5" s="104"/>
    </row>
  </sheetData>
  <sheetProtection sheet="1" objects="1" scenarios="1"/>
  <phoneticPr fontId="35" type="noConversion"/>
  <pageMargins left="0.98425196850393704" right="0.55118110236220474" top="0.98425196850393704" bottom="0.51181102362204722" header="0.51181102362204722" footer="0.51181102362204722"/>
  <pageSetup paperSize="9" orientation="portrait" r:id="rId1"/>
  <headerFooter alignWithMargins="0">
    <oddFooter>&amp;R&amp;6&amp;F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60"/>
  <sheetViews>
    <sheetView showGridLines="0" topLeftCell="A17" zoomScale="85" zoomScaleNormal="85" workbookViewId="0">
      <selection activeCell="M32" sqref="M32"/>
    </sheetView>
  </sheetViews>
  <sheetFormatPr defaultColWidth="9.109375" defaultRowHeight="13.2"/>
  <cols>
    <col min="1" max="1" width="1.6640625" style="58" customWidth="1"/>
    <col min="2" max="2" width="9.33203125" style="58" customWidth="1"/>
    <col min="3" max="3" width="19" style="58" customWidth="1"/>
    <col min="4" max="9" width="11.6640625" style="58" customWidth="1"/>
    <col min="10" max="10" width="1.6640625" style="58" customWidth="1"/>
    <col min="11" max="11" width="7.5546875" style="58" customWidth="1"/>
    <col min="12" max="16384" width="9.109375" style="58"/>
  </cols>
  <sheetData>
    <row r="1" spans="1:10" ht="24" customHeight="1">
      <c r="A1" s="111" t="str">
        <f>Indtastningsark!A1</f>
        <v>Grønt Regnskab 2025</v>
      </c>
      <c r="B1" s="68"/>
    </row>
    <row r="2" spans="1:10" ht="24" customHeight="1">
      <c r="A2" s="111"/>
      <c r="B2" s="68"/>
    </row>
    <row r="3" spans="1:10" ht="30.75" customHeight="1">
      <c r="A3" s="362" t="str">
        <f>Indtastningsark!D13</f>
        <v>Klimaparken</v>
      </c>
      <c r="B3" s="363"/>
      <c r="C3" s="364"/>
      <c r="D3" s="364"/>
      <c r="E3" s="364"/>
      <c r="I3" s="112" t="s">
        <v>55</v>
      </c>
    </row>
    <row r="4" spans="1:10" ht="28.5" customHeight="1">
      <c r="B4" s="365" t="s">
        <v>125</v>
      </c>
      <c r="C4" s="366"/>
      <c r="D4" s="366"/>
      <c r="E4" s="366"/>
      <c r="F4" s="366"/>
      <c r="G4" s="366"/>
      <c r="H4" s="366"/>
      <c r="I4" s="366"/>
    </row>
    <row r="5" spans="1:10" ht="30" customHeight="1">
      <c r="B5" s="58" t="s">
        <v>215</v>
      </c>
    </row>
    <row r="6" spans="1:10" ht="13.5" customHeight="1">
      <c r="B6" s="58" t="s">
        <v>216</v>
      </c>
    </row>
    <row r="7" spans="1:10" ht="13.5" customHeight="1">
      <c r="B7" s="58" t="s">
        <v>199</v>
      </c>
    </row>
    <row r="8" spans="1:10" ht="13.5" customHeight="1">
      <c r="B8" s="256" t="s">
        <v>229</v>
      </c>
    </row>
    <row r="9" spans="1:10" ht="13.5" customHeight="1">
      <c r="B9" s="58" t="s">
        <v>8</v>
      </c>
    </row>
    <row r="10" spans="1:10" ht="13.5" customHeight="1">
      <c r="B10" s="58" t="s">
        <v>20</v>
      </c>
    </row>
    <row r="11" spans="1:10" ht="13.5" customHeight="1">
      <c r="B11" s="58" t="s">
        <v>126</v>
      </c>
    </row>
    <row r="12" spans="1:10" ht="13.5" customHeight="1"/>
    <row r="13" spans="1:10" ht="15.75" customHeight="1">
      <c r="A13" s="367"/>
      <c r="B13" s="368"/>
      <c r="C13" s="369"/>
      <c r="D13" s="370" t="s">
        <v>21</v>
      </c>
      <c r="E13" s="369"/>
      <c r="F13" s="369"/>
      <c r="G13" s="369"/>
      <c r="H13" s="369"/>
      <c r="I13" s="369"/>
      <c r="J13" s="371"/>
    </row>
    <row r="14" spans="1:10">
      <c r="A14" s="372"/>
      <c r="B14" s="373"/>
      <c r="C14" s="374"/>
      <c r="D14" s="387">
        <f>'BASIS-regneark'!C8</f>
        <v>2020</v>
      </c>
      <c r="E14" s="387">
        <f>'BASIS-regneark'!D8</f>
        <v>2021</v>
      </c>
      <c r="F14" s="387">
        <f>'BASIS-regneark'!E8</f>
        <v>2022</v>
      </c>
      <c r="G14" s="387">
        <f>'BASIS-regneark'!F8</f>
        <v>2023</v>
      </c>
      <c r="H14" s="387">
        <f>'BASIS-regneark'!G8</f>
        <v>2024</v>
      </c>
      <c r="I14" s="387">
        <f>'BASIS-regneark'!H8</f>
        <v>2025</v>
      </c>
      <c r="J14" s="375"/>
    </row>
    <row r="15" spans="1:10" ht="9" customHeight="1" thickBot="1">
      <c r="A15" s="372"/>
      <c r="B15" s="376"/>
      <c r="C15" s="376"/>
      <c r="D15" s="377"/>
      <c r="E15" s="378"/>
      <c r="F15" s="378"/>
      <c r="G15" s="378"/>
      <c r="H15" s="378"/>
      <c r="I15" s="377"/>
      <c r="J15" s="375"/>
    </row>
    <row r="16" spans="1:10" ht="9" customHeight="1">
      <c r="A16" s="372"/>
      <c r="B16" s="373"/>
      <c r="C16" s="373"/>
      <c r="D16" s="373"/>
      <c r="E16" s="373"/>
      <c r="F16" s="373"/>
      <c r="G16" s="373"/>
      <c r="H16" s="373"/>
      <c r="I16" s="373"/>
      <c r="J16" s="375"/>
    </row>
    <row r="17" spans="1:12" ht="13.8" thickBot="1">
      <c r="A17" s="372"/>
      <c r="B17" s="379" t="s">
        <v>73</v>
      </c>
      <c r="C17" s="373"/>
      <c r="D17" s="373"/>
      <c r="E17" s="373"/>
      <c r="F17" s="373"/>
      <c r="G17" s="373"/>
      <c r="H17" s="373"/>
      <c r="I17" s="373"/>
      <c r="J17" s="375"/>
    </row>
    <row r="18" spans="1:12">
      <c r="A18" s="372"/>
      <c r="B18" s="373" t="s">
        <v>56</v>
      </c>
      <c r="C18" s="373"/>
      <c r="D18" s="299"/>
      <c r="E18" s="300"/>
      <c r="F18" s="300"/>
      <c r="G18" s="300"/>
      <c r="H18" s="300"/>
      <c r="I18" s="301"/>
      <c r="J18" s="375"/>
    </row>
    <row r="19" spans="1:12" ht="12.75" customHeight="1">
      <c r="A19" s="372"/>
      <c r="B19" s="373" t="s">
        <v>119</v>
      </c>
      <c r="C19" s="373"/>
      <c r="D19" s="302"/>
      <c r="E19" s="156"/>
      <c r="F19" s="156"/>
      <c r="G19" s="156"/>
      <c r="H19" s="156"/>
      <c r="I19" s="303"/>
      <c r="J19" s="375"/>
    </row>
    <row r="20" spans="1:12">
      <c r="A20" s="372"/>
      <c r="B20" s="373" t="s">
        <v>115</v>
      </c>
      <c r="C20" s="373"/>
      <c r="D20" s="302"/>
      <c r="E20" s="156"/>
      <c r="F20" s="156"/>
      <c r="G20" s="156"/>
      <c r="H20" s="156"/>
      <c r="I20" s="303"/>
      <c r="J20" s="375"/>
    </row>
    <row r="21" spans="1:12">
      <c r="A21" s="372"/>
      <c r="B21" s="373" t="s">
        <v>116</v>
      </c>
      <c r="C21" s="373"/>
      <c r="D21" s="302"/>
      <c r="E21" s="156"/>
      <c r="F21" s="156"/>
      <c r="G21" s="156"/>
      <c r="H21" s="156"/>
      <c r="I21" s="303"/>
      <c r="J21" s="375"/>
    </row>
    <row r="22" spans="1:12">
      <c r="A22" s="372"/>
      <c r="B22" s="373" t="s">
        <v>173</v>
      </c>
      <c r="C22" s="373"/>
      <c r="D22" s="302"/>
      <c r="E22" s="156"/>
      <c r="F22" s="156"/>
      <c r="G22" s="156"/>
      <c r="H22" s="156"/>
      <c r="I22" s="303"/>
      <c r="J22" s="375"/>
    </row>
    <row r="23" spans="1:12">
      <c r="A23" s="372"/>
      <c r="B23" s="373" t="s">
        <v>120</v>
      </c>
      <c r="C23" s="373"/>
      <c r="D23" s="302"/>
      <c r="E23" s="156"/>
      <c r="F23" s="156"/>
      <c r="G23" s="156"/>
      <c r="H23" s="156"/>
      <c r="I23" s="303"/>
      <c r="J23" s="375"/>
    </row>
    <row r="24" spans="1:12">
      <c r="A24" s="372"/>
      <c r="B24" s="374" t="s">
        <v>159</v>
      </c>
      <c r="C24" s="380"/>
      <c r="D24" s="302"/>
      <c r="E24" s="156"/>
      <c r="F24" s="156"/>
      <c r="G24" s="156"/>
      <c r="H24" s="156"/>
      <c r="I24" s="303"/>
      <c r="J24" s="375"/>
    </row>
    <row r="25" spans="1:12" ht="13.8" thickBot="1">
      <c r="A25" s="372"/>
      <c r="B25" s="373" t="s">
        <v>139</v>
      </c>
      <c r="C25" s="373"/>
      <c r="D25" s="304"/>
      <c r="E25" s="305"/>
      <c r="F25" s="305"/>
      <c r="G25" s="305"/>
      <c r="H25" s="305"/>
      <c r="I25" s="306"/>
      <c r="J25" s="375"/>
    </row>
    <row r="26" spans="1:12">
      <c r="A26" s="372"/>
      <c r="B26" s="373"/>
      <c r="C26" s="373"/>
      <c r="D26" s="373"/>
      <c r="E26" s="373"/>
      <c r="F26" s="373"/>
      <c r="G26" s="373"/>
      <c r="H26" s="373"/>
      <c r="I26" s="373"/>
      <c r="J26" s="375"/>
    </row>
    <row r="27" spans="1:12">
      <c r="A27" s="372"/>
      <c r="B27" s="379" t="s">
        <v>72</v>
      </c>
      <c r="C27" s="373"/>
      <c r="D27" s="373"/>
      <c r="E27" s="373"/>
      <c r="F27" s="373"/>
      <c r="G27" s="373"/>
      <c r="H27" s="373"/>
      <c r="I27" s="373"/>
      <c r="J27" s="375"/>
      <c r="L27" s="388"/>
    </row>
    <row r="28" spans="1:12">
      <c r="A28" s="372"/>
      <c r="B28" s="373" t="s">
        <v>198</v>
      </c>
      <c r="C28" s="373"/>
      <c r="D28" s="154"/>
      <c r="E28" s="154"/>
      <c r="F28" s="154"/>
      <c r="G28" s="154"/>
      <c r="H28" s="154"/>
      <c r="I28" s="154"/>
      <c r="J28" s="375"/>
    </row>
    <row r="29" spans="1:12">
      <c r="A29" s="372"/>
      <c r="B29" s="381" t="s">
        <v>204</v>
      </c>
      <c r="C29" s="373"/>
      <c r="D29" s="154"/>
      <c r="E29" s="154"/>
      <c r="F29" s="154"/>
      <c r="G29" s="155"/>
      <c r="H29" s="155"/>
      <c r="I29" s="155"/>
      <c r="J29" s="375"/>
    </row>
    <row r="30" spans="1:12">
      <c r="A30" s="372"/>
      <c r="B30" s="373" t="s">
        <v>225</v>
      </c>
      <c r="C30" s="373"/>
      <c r="D30" s="389"/>
      <c r="E30" s="389"/>
      <c r="F30" s="389"/>
      <c r="G30" s="390"/>
      <c r="H30" s="157"/>
      <c r="I30" s="157"/>
      <c r="J30" s="375"/>
    </row>
    <row r="31" spans="1:12">
      <c r="A31" s="372"/>
      <c r="B31" s="379" t="s">
        <v>202</v>
      </c>
      <c r="C31" s="379"/>
      <c r="D31" s="334">
        <f t="shared" ref="D31:F31" si="0">D28+D29-D30</f>
        <v>0</v>
      </c>
      <c r="E31" s="334">
        <f t="shared" si="0"/>
        <v>0</v>
      </c>
      <c r="F31" s="334">
        <f t="shared" si="0"/>
        <v>0</v>
      </c>
      <c r="G31" s="334">
        <f>G28+G29-G30</f>
        <v>0</v>
      </c>
      <c r="H31" s="334">
        <f t="shared" ref="H31:I31" si="1">H28+H29-H30</f>
        <v>0</v>
      </c>
      <c r="I31" s="334">
        <f t="shared" si="1"/>
        <v>0</v>
      </c>
      <c r="J31" s="375"/>
    </row>
    <row r="32" spans="1:12">
      <c r="A32" s="372"/>
      <c r="B32" s="373"/>
      <c r="C32" s="373"/>
      <c r="D32" s="382"/>
      <c r="E32" s="382"/>
      <c r="F32" s="382"/>
      <c r="G32" s="382"/>
      <c r="H32" s="382"/>
      <c r="I32" s="382"/>
      <c r="J32" s="375"/>
    </row>
    <row r="33" spans="1:10" ht="13.8" thickBot="1">
      <c r="A33" s="372"/>
      <c r="B33" s="379" t="s">
        <v>74</v>
      </c>
      <c r="C33" s="373"/>
      <c r="D33" s="382"/>
      <c r="E33" s="382"/>
      <c r="F33" s="382"/>
      <c r="G33" s="382"/>
      <c r="H33" s="382"/>
      <c r="I33" s="382"/>
      <c r="J33" s="375"/>
    </row>
    <row r="34" spans="1:10" ht="15.6">
      <c r="A34" s="372"/>
      <c r="B34" s="373" t="s">
        <v>107</v>
      </c>
      <c r="C34" s="373"/>
      <c r="D34" s="307"/>
      <c r="E34" s="308"/>
      <c r="F34" s="308"/>
      <c r="G34" s="308"/>
      <c r="H34" s="308"/>
      <c r="I34" s="309"/>
      <c r="J34" s="375"/>
    </row>
    <row r="35" spans="1:10" ht="16.2" thickBot="1">
      <c r="A35" s="372"/>
      <c r="B35" s="373" t="s">
        <v>108</v>
      </c>
      <c r="C35" s="373"/>
      <c r="D35" s="310"/>
      <c r="E35" s="311"/>
      <c r="F35" s="311"/>
      <c r="G35" s="311"/>
      <c r="H35" s="311"/>
      <c r="I35" s="312"/>
      <c r="J35" s="375"/>
    </row>
    <row r="36" spans="1:10">
      <c r="A36" s="372"/>
      <c r="B36" s="373"/>
      <c r="C36" s="373"/>
      <c r="D36" s="373"/>
      <c r="E36" s="373"/>
      <c r="F36" s="373"/>
      <c r="G36" s="373"/>
      <c r="H36" s="373"/>
      <c r="I36" s="373"/>
      <c r="J36" s="375"/>
    </row>
    <row r="37" spans="1:10" ht="13.8" thickBot="1">
      <c r="A37" s="372"/>
      <c r="B37" s="379" t="s">
        <v>75</v>
      </c>
      <c r="C37" s="373"/>
      <c r="D37" s="373"/>
      <c r="E37" s="373"/>
      <c r="F37" s="373"/>
      <c r="G37" s="373"/>
      <c r="H37" s="373"/>
      <c r="I37" s="373"/>
      <c r="J37" s="375"/>
    </row>
    <row r="38" spans="1:10">
      <c r="A38" s="372"/>
      <c r="B38" s="373" t="s">
        <v>87</v>
      </c>
      <c r="C38" s="373"/>
      <c r="D38" s="313"/>
      <c r="E38" s="313"/>
      <c r="F38" s="313"/>
      <c r="G38" s="313"/>
      <c r="H38" s="313"/>
      <c r="I38" s="314"/>
      <c r="J38" s="375"/>
    </row>
    <row r="39" spans="1:10">
      <c r="A39" s="372"/>
      <c r="B39" s="373" t="s">
        <v>76</v>
      </c>
      <c r="C39" s="373"/>
      <c r="D39" s="157"/>
      <c r="E39" s="157"/>
      <c r="F39" s="157"/>
      <c r="G39" s="157"/>
      <c r="H39" s="157"/>
      <c r="I39" s="315"/>
      <c r="J39" s="375"/>
    </row>
    <row r="40" spans="1:10">
      <c r="A40" s="372"/>
      <c r="B40" s="373" t="s">
        <v>91</v>
      </c>
      <c r="C40" s="373"/>
      <c r="D40" s="157"/>
      <c r="E40" s="157"/>
      <c r="F40" s="157"/>
      <c r="G40" s="157"/>
      <c r="H40" s="157"/>
      <c r="I40" s="315"/>
      <c r="J40" s="375"/>
    </row>
    <row r="41" spans="1:10" ht="13.8" thickBot="1">
      <c r="A41" s="372"/>
      <c r="B41" s="373" t="s">
        <v>92</v>
      </c>
      <c r="C41" s="373"/>
      <c r="D41" s="296"/>
      <c r="E41" s="316"/>
      <c r="F41" s="316"/>
      <c r="G41" s="316"/>
      <c r="H41" s="316"/>
      <c r="I41" s="317"/>
      <c r="J41" s="375"/>
    </row>
    <row r="42" spans="1:10">
      <c r="A42" s="383"/>
      <c r="B42" s="384"/>
      <c r="C42" s="384"/>
      <c r="D42" s="384"/>
      <c r="E42" s="384"/>
      <c r="F42" s="384"/>
      <c r="G42" s="384"/>
      <c r="H42" s="384"/>
      <c r="I42" s="384"/>
      <c r="J42" s="385"/>
    </row>
    <row r="44" spans="1:10">
      <c r="B44" s="386"/>
      <c r="C44" s="386"/>
      <c r="D44" s="386"/>
      <c r="E44" s="386"/>
      <c r="F44" s="386"/>
      <c r="G44" s="386"/>
      <c r="H44" s="386"/>
      <c r="I44" s="386"/>
    </row>
    <row r="45" spans="1:10">
      <c r="B45" s="386"/>
      <c r="C45" s="386"/>
      <c r="D45" s="386"/>
      <c r="E45" s="386"/>
      <c r="F45" s="386"/>
      <c r="G45" s="386"/>
      <c r="H45" s="386"/>
      <c r="I45" s="386"/>
    </row>
    <row r="46" spans="1:10">
      <c r="B46" s="386"/>
      <c r="C46" s="386"/>
      <c r="D46" s="386"/>
      <c r="E46" s="386"/>
      <c r="F46" s="386"/>
      <c r="G46" s="386"/>
      <c r="H46" s="386"/>
      <c r="I46" s="386"/>
    </row>
    <row r="60" ht="4.5" customHeight="1"/>
  </sheetData>
  <sheetProtection sheet="1" objects="1" scenarios="1"/>
  <phoneticPr fontId="35" type="noConversion"/>
  <pageMargins left="0.98425196850393704" right="0.59055118110236227" top="0.98425196850393704" bottom="0.51181102362204722" header="0.51181102362204722" footer="0.51181102362204722"/>
  <pageSetup paperSize="9" scale="85" orientation="portrait" r:id="rId1"/>
  <headerFooter alignWithMargins="0">
    <oddFooter>&amp;L&amp;Y  &amp;R&amp;8&amp;F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6" transitionEvaluation="1" codeName="Ark5"/>
  <dimension ref="A1:T631"/>
  <sheetViews>
    <sheetView showGridLines="0" topLeftCell="A6" zoomScale="65" zoomScaleNormal="65" workbookViewId="0">
      <selection activeCell="I20" sqref="I20"/>
    </sheetView>
  </sheetViews>
  <sheetFormatPr defaultColWidth="12.5546875" defaultRowHeight="15"/>
  <cols>
    <col min="1" max="1" width="48" style="3" customWidth="1"/>
    <col min="2" max="2" width="11.88671875" style="3" customWidth="1"/>
    <col min="3" max="8" width="15.6640625" style="3" customWidth="1"/>
    <col min="9" max="9" width="12.5546875" style="3" customWidth="1"/>
    <col min="10" max="10" width="30.5546875" style="3" customWidth="1"/>
    <col min="11" max="11" width="12.5546875" style="3" customWidth="1"/>
    <col min="12" max="16384" width="12.5546875" style="3"/>
  </cols>
  <sheetData>
    <row r="1" spans="1:11" ht="38.25" customHeight="1">
      <c r="A1" s="117" t="str">
        <f>Indtastningsark!A1</f>
        <v>Grønt Regnskab 2025</v>
      </c>
      <c r="D1" s="58"/>
      <c r="E1" s="58"/>
      <c r="F1" s="58"/>
      <c r="G1" s="58"/>
      <c r="H1" s="58"/>
    </row>
    <row r="2" spans="1:11" ht="50.25" customHeight="1">
      <c r="A2" s="92" t="str">
        <f>Indtastningsark!D13</f>
        <v>Klimaparken</v>
      </c>
      <c r="B2" s="96"/>
      <c r="C2" s="58"/>
      <c r="D2" s="123"/>
      <c r="E2" s="69"/>
      <c r="F2" s="108"/>
      <c r="G2" s="109"/>
      <c r="H2" s="114" t="s">
        <v>57</v>
      </c>
    </row>
    <row r="3" spans="1:11" ht="39" customHeight="1">
      <c r="A3" s="70"/>
      <c r="B3"/>
      <c r="C3"/>
      <c r="D3"/>
      <c r="E3" s="58"/>
      <c r="F3" s="58"/>
      <c r="G3" s="69"/>
      <c r="H3" s="69"/>
    </row>
    <row r="4" spans="1:11" ht="24" customHeight="1" thickBot="1">
      <c r="A4" s="4"/>
      <c r="B4" s="4"/>
      <c r="C4" s="4"/>
      <c r="D4" s="31" t="s">
        <v>85</v>
      </c>
      <c r="E4" s="31" t="s">
        <v>86</v>
      </c>
      <c r="F4" s="31" t="s">
        <v>103</v>
      </c>
      <c r="G4" s="31" t="s">
        <v>128</v>
      </c>
      <c r="H4" s="31" t="s">
        <v>104</v>
      </c>
      <c r="J4" s="82"/>
    </row>
    <row r="5" spans="1:11" ht="19.5" customHeight="1" thickBot="1">
      <c r="A5" s="4"/>
      <c r="B5" s="235"/>
      <c r="C5" s="232">
        <f>'BASIS-regneark'!C6</f>
        <v>2025</v>
      </c>
      <c r="D5" s="125">
        <f ca="1">H24</f>
        <v>4174.867048546078</v>
      </c>
      <c r="E5" s="219">
        <f>H31</f>
        <v>530.60686015831129</v>
      </c>
      <c r="F5" s="84">
        <f>H39</f>
        <v>31.002638522427439</v>
      </c>
      <c r="G5" s="83">
        <f>H50</f>
        <v>312.66490765171505</v>
      </c>
      <c r="H5" s="75">
        <f>H61</f>
        <v>0.20627488126649079</v>
      </c>
      <c r="I5" s="6"/>
    </row>
    <row r="6" spans="1:11" ht="15.75" customHeight="1" thickBot="1">
      <c r="A6" s="4"/>
      <c r="B6" s="4"/>
      <c r="C6" s="4"/>
      <c r="D6" s="124"/>
      <c r="E6" s="4"/>
      <c r="F6" s="4"/>
      <c r="G6" s="78"/>
      <c r="H6" s="4"/>
      <c r="J6" s="81"/>
    </row>
    <row r="7" spans="1:11" ht="19.5" customHeight="1" thickBot="1">
      <c r="A7" s="33"/>
      <c r="B7" s="4"/>
      <c r="C7" s="137">
        <f>'BASIS-regneark'!C8</f>
        <v>2020</v>
      </c>
      <c r="D7" s="137">
        <f>'BASIS-regneark'!D8</f>
        <v>2021</v>
      </c>
      <c r="E7" s="137">
        <f>'BASIS-regneark'!E8</f>
        <v>2022</v>
      </c>
      <c r="F7" s="137">
        <f>'BASIS-regneark'!F8</f>
        <v>2023</v>
      </c>
      <c r="G7" s="158">
        <f>'BASIS-regneark'!G8</f>
        <v>2024</v>
      </c>
      <c r="H7" s="159">
        <f>'BASIS-regneark'!H8</f>
        <v>2025</v>
      </c>
      <c r="I7" s="121"/>
    </row>
    <row r="8" spans="1:11" ht="15" customHeight="1">
      <c r="A8" s="4"/>
      <c r="B8" s="4"/>
      <c r="C8" s="34"/>
      <c r="D8" s="34"/>
      <c r="E8" s="34"/>
      <c r="F8" s="34"/>
      <c r="G8" s="76"/>
      <c r="H8" s="31"/>
    </row>
    <row r="9" spans="1:11" ht="20.100000000000001" customHeight="1">
      <c r="A9" s="35" t="s">
        <v>113</v>
      </c>
      <c r="B9" s="36"/>
      <c r="C9" s="126">
        <f>'BASIS-regneark'!C10</f>
        <v>14900</v>
      </c>
      <c r="D9" s="126">
        <f>'BASIS-regneark'!D10</f>
        <v>14900</v>
      </c>
      <c r="E9" s="126">
        <f>'BASIS-regneark'!E10</f>
        <v>14900</v>
      </c>
      <c r="F9" s="126">
        <f>'BASIS-regneark'!F10</f>
        <v>14900</v>
      </c>
      <c r="G9" s="126">
        <f>'BASIS-regneark'!G10</f>
        <v>14900</v>
      </c>
      <c r="H9" s="126">
        <f>'BASIS-regneark'!H10</f>
        <v>14900</v>
      </c>
      <c r="I9" s="8"/>
    </row>
    <row r="10" spans="1:11" ht="20.100000000000001" customHeight="1">
      <c r="A10" s="38" t="s">
        <v>58</v>
      </c>
      <c r="B10" s="4"/>
      <c r="C10" s="126">
        <f>'BASIS-regneark'!C11</f>
        <v>375</v>
      </c>
      <c r="D10" s="126">
        <f>'BASIS-regneark'!D11</f>
        <v>377</v>
      </c>
      <c r="E10" s="126">
        <f>'BASIS-regneark'!E11</f>
        <v>379</v>
      </c>
      <c r="F10" s="126">
        <f>'BASIS-regneark'!F11</f>
        <v>382</v>
      </c>
      <c r="G10" s="126">
        <f>'BASIS-regneark'!G11</f>
        <v>379</v>
      </c>
      <c r="H10" s="127">
        <f>'BASIS-regneark'!H11</f>
        <v>379</v>
      </c>
      <c r="I10" s="8"/>
    </row>
    <row r="11" spans="1:11" ht="15.75" customHeight="1">
      <c r="A11" s="36"/>
      <c r="B11" s="36"/>
      <c r="C11" s="36"/>
      <c r="D11" s="36"/>
      <c r="E11" s="36"/>
      <c r="F11" s="34"/>
      <c r="G11" s="36"/>
      <c r="H11" s="36"/>
    </row>
    <row r="12" spans="1:11" ht="19.5" customHeight="1">
      <c r="A12" s="32" t="s">
        <v>68</v>
      </c>
      <c r="B12" s="4"/>
      <c r="C12" s="4"/>
      <c r="D12" s="4"/>
      <c r="E12" s="4"/>
      <c r="F12" s="4"/>
      <c r="G12" s="4"/>
      <c r="H12" s="4"/>
    </row>
    <row r="13" spans="1:11" ht="19.5" customHeight="1">
      <c r="A13" s="35" t="s">
        <v>59</v>
      </c>
      <c r="B13" s="36" t="s">
        <v>31</v>
      </c>
      <c r="C13" s="160">
        <f>'BASIS-regneark'!C20-'BASIS-regneark'!C19</f>
        <v>1470</v>
      </c>
      <c r="D13" s="160">
        <f>'BASIS-regneark'!D20-'BASIS-regneark'!D19</f>
        <v>1460</v>
      </c>
      <c r="E13" s="160">
        <f>'BASIS-regneark'!E20-'BASIS-regneark'!E19</f>
        <v>1424</v>
      </c>
      <c r="F13" s="160">
        <f>'BASIS-regneark'!F20-'BASIS-regneark'!F19</f>
        <v>1418</v>
      </c>
      <c r="G13" s="160">
        <f>'BASIS-regneark'!G20-'BASIS-regneark'!G19</f>
        <v>1450</v>
      </c>
      <c r="H13" s="161">
        <f>'BASIS-regneark'!H20-'BASIS-regneark'!H19</f>
        <v>1380</v>
      </c>
      <c r="I13" s="7"/>
    </row>
    <row r="14" spans="1:11" ht="19.5" customHeight="1">
      <c r="A14" s="38" t="s">
        <v>60</v>
      </c>
      <c r="B14" s="4" t="s">
        <v>31</v>
      </c>
      <c r="C14" s="126">
        <f>'Indtastningsark-X'!D18</f>
        <v>0</v>
      </c>
      <c r="D14" s="126">
        <f>'Indtastningsark-X'!E18</f>
        <v>0</v>
      </c>
      <c r="E14" s="126">
        <f>'Indtastningsark-X'!F18</f>
        <v>0</v>
      </c>
      <c r="F14" s="126">
        <f>'Indtastningsark-X'!G18</f>
        <v>0</v>
      </c>
      <c r="G14" s="126">
        <f>'Indtastningsark-X'!H18</f>
        <v>0</v>
      </c>
      <c r="H14" s="126">
        <f>'Indtastningsark-X'!I18</f>
        <v>0</v>
      </c>
      <c r="I14" s="7"/>
      <c r="K14" s="9"/>
    </row>
    <row r="15" spans="1:11" ht="19.5" customHeight="1">
      <c r="A15" s="38" t="s">
        <v>0</v>
      </c>
      <c r="B15" s="4" t="s">
        <v>31</v>
      </c>
      <c r="C15" s="126">
        <f>'BASIS-regneark'!C17-Indtastningsark!D48/1000</f>
        <v>0</v>
      </c>
      <c r="D15" s="126">
        <f>'BASIS-regneark'!D17-Indtastningsark!E48/1000</f>
        <v>0</v>
      </c>
      <c r="E15" s="126">
        <f>'BASIS-regneark'!E17-Indtastningsark!F48/1000</f>
        <v>0</v>
      </c>
      <c r="F15" s="126">
        <f>'BASIS-regneark'!F17-Indtastningsark!G48/1000</f>
        <v>0</v>
      </c>
      <c r="G15" s="126">
        <f>'BASIS-regneark'!G17-Indtastningsark!H48/1000</f>
        <v>0</v>
      </c>
      <c r="H15" s="126">
        <f>'BASIS-regneark'!H17-Indtastningsark!I48/1000</f>
        <v>0</v>
      </c>
      <c r="I15" s="7"/>
      <c r="K15" s="9"/>
    </row>
    <row r="16" spans="1:11" ht="20.100000000000001" customHeight="1">
      <c r="A16" s="38" t="s">
        <v>117</v>
      </c>
      <c r="B16" s="5" t="s">
        <v>31</v>
      </c>
      <c r="C16" s="126">
        <f>'Indtastningsark-X'!D19*0.0041*0.8+('Indtastningsark-X'!D20*7.2+'Indtastningsark-X'!D21*5.6+'Indtastningsark-X'!D22*5.3/10+'Indtastningsark-X'!D23*4+'Indtastningsark-X'!D24*2.9+'Indtastningsark-X'!D25*4.9)*0.6</f>
        <v>0</v>
      </c>
      <c r="D16" s="126">
        <f>'Indtastningsark-X'!E19*0.0041*0.8+('Indtastningsark-X'!E20*7.2+'Indtastningsark-X'!E21*5.6+'Indtastningsark-X'!E22*5.3/10+'Indtastningsark-X'!E23*4+'Indtastningsark-X'!E24*2.9+'Indtastningsark-X'!E25*4.9)*0.6</f>
        <v>0</v>
      </c>
      <c r="E16" s="126">
        <f>'Indtastningsark-X'!F19*0.0041*0.8+('Indtastningsark-X'!F20*7.2+'Indtastningsark-X'!F21*5.6+'Indtastningsark-X'!F22*5.3/10+'Indtastningsark-X'!F23*4+'Indtastningsark-X'!F24*2.9+'Indtastningsark-X'!F25*4.9)*0.6</f>
        <v>0</v>
      </c>
      <c r="F16" s="126">
        <f>'Indtastningsark-X'!G19*0.0041*0.8+('Indtastningsark-X'!G20*7.2+'Indtastningsark-X'!G21*5.6+'Indtastningsark-X'!G22*5.3/10+'Indtastningsark-X'!G23*4+'Indtastningsark-X'!G24*2.9+'Indtastningsark-X'!G25*4.9)*0.6</f>
        <v>0</v>
      </c>
      <c r="G16" s="126">
        <f>'Indtastningsark-X'!H19*0.0041*0.8+('Indtastningsark-X'!H20*7.2+'Indtastningsark-X'!H21*5.6+'Indtastningsark-X'!H22*5.3/10+'Indtastningsark-X'!H23*4+'Indtastningsark-X'!H24*2.9+'Indtastningsark-X'!H25*4.9)*0.6</f>
        <v>0</v>
      </c>
      <c r="H16" s="126">
        <f>'Indtastningsark-X'!I19*0.0041*0.8+('Indtastningsark-X'!I20*7.2+'Indtastningsark-X'!I21*5.6+'Indtastningsark-X'!I22*5.3/10+'Indtastningsark-X'!I23*4+'Indtastningsark-X'!I24*2.9+'Indtastningsark-X'!I25*4.9)*0.6</f>
        <v>0</v>
      </c>
      <c r="I16" s="7"/>
      <c r="K16" s="9"/>
    </row>
    <row r="17" spans="1:20" ht="19.5" customHeight="1">
      <c r="A17" s="37" t="s">
        <v>35</v>
      </c>
      <c r="B17" s="55" t="s">
        <v>31</v>
      </c>
      <c r="C17" s="162">
        <f t="shared" ref="C17:H17" si="0">SUM(C13:C16)</f>
        <v>1470</v>
      </c>
      <c r="D17" s="161">
        <f t="shared" si="0"/>
        <v>1460</v>
      </c>
      <c r="E17" s="162">
        <f t="shared" si="0"/>
        <v>1424</v>
      </c>
      <c r="F17" s="161">
        <f t="shared" si="0"/>
        <v>1418</v>
      </c>
      <c r="G17" s="162">
        <f t="shared" si="0"/>
        <v>1450</v>
      </c>
      <c r="H17" s="161">
        <f t="shared" si="0"/>
        <v>1380</v>
      </c>
      <c r="I17" s="7"/>
      <c r="J17" s="16"/>
      <c r="K17" s="14"/>
      <c r="L17" s="14"/>
      <c r="M17" s="14"/>
      <c r="N17" s="14"/>
      <c r="O17" s="14"/>
      <c r="P17" s="14"/>
    </row>
    <row r="18" spans="1:20" ht="20.100000000000001" customHeight="1">
      <c r="A18" s="37" t="s">
        <v>163</v>
      </c>
      <c r="B18" s="15" t="s">
        <v>31</v>
      </c>
      <c r="C18" s="160">
        <f ca="1">'BASIS-regneark'!C23</f>
        <v>1576.3929492691316</v>
      </c>
      <c r="D18" s="160">
        <f ca="1">'BASIS-regneark'!D23</f>
        <v>1444.1104247104247</v>
      </c>
      <c r="E18" s="160">
        <f ca="1">'BASIS-regneark'!E23</f>
        <v>1603.4444444444443</v>
      </c>
      <c r="F18" s="160">
        <f ca="1">'BASIS-regneark'!F23</f>
        <v>1499.4437869822486</v>
      </c>
      <c r="G18" s="160">
        <f ca="1">'BASIS-regneark'!G23</f>
        <v>1604.0972658000896</v>
      </c>
      <c r="H18" s="160">
        <f ca="1">'BASIS-regneark'!H23</f>
        <v>1582.2746113989638</v>
      </c>
      <c r="I18" s="7"/>
      <c r="J18" s="19"/>
      <c r="K18" s="20"/>
      <c r="L18" s="20"/>
      <c r="M18" s="20"/>
      <c r="N18" s="20"/>
      <c r="O18" s="20"/>
      <c r="P18" s="21"/>
    </row>
    <row r="19" spans="1:20" ht="20.100000000000001" customHeight="1">
      <c r="A19" s="38" t="s">
        <v>61</v>
      </c>
      <c r="B19" s="4" t="s">
        <v>40</v>
      </c>
      <c r="C19" s="164">
        <f ca="1">IF(C9&gt;0,(C18-C14-C15-C16)/C9*1000," ")</f>
        <v>105.79818451470682</v>
      </c>
      <c r="D19" s="164">
        <f t="shared" ref="D19:H19" ca="1" si="1">IF(D9&gt;0,(D18-D14-D15-D16)/D9*1000," ")</f>
        <v>96.92016273224327</v>
      </c>
      <c r="E19" s="164">
        <f t="shared" ca="1" si="1"/>
        <v>107.61372110365399</v>
      </c>
      <c r="F19" s="164">
        <f t="shared" ca="1" si="1"/>
        <v>100.63381120686232</v>
      </c>
      <c r="G19" s="164">
        <f t="shared" ca="1" si="1"/>
        <v>107.65753461745568</v>
      </c>
      <c r="H19" s="164">
        <f t="shared" ca="1" si="1"/>
        <v>106.19292693952777</v>
      </c>
      <c r="I19" s="7"/>
      <c r="J19" s="16"/>
      <c r="K19" s="14"/>
      <c r="L19" s="14"/>
      <c r="M19" s="14"/>
      <c r="N19" s="14"/>
      <c r="O19" s="14"/>
      <c r="P19" s="14"/>
    </row>
    <row r="20" spans="1:20" ht="20.100000000000001" customHeight="1">
      <c r="A20" s="38" t="s">
        <v>62</v>
      </c>
      <c r="B20" s="4" t="s">
        <v>40</v>
      </c>
      <c r="C20" s="164">
        <f>IF(C9&gt;0,SUM(C14:C16)/C9*1000," ")</f>
        <v>0</v>
      </c>
      <c r="D20" s="164">
        <f t="shared" ref="D20:H20" si="2">IF(D9&gt;0,SUM(D14:D16)/D9*1000," ")</f>
        <v>0</v>
      </c>
      <c r="E20" s="164">
        <f t="shared" si="2"/>
        <v>0</v>
      </c>
      <c r="F20" s="164">
        <f t="shared" si="2"/>
        <v>0</v>
      </c>
      <c r="G20" s="164">
        <f t="shared" si="2"/>
        <v>0</v>
      </c>
      <c r="H20" s="164">
        <f t="shared" si="2"/>
        <v>0</v>
      </c>
      <c r="I20" s="7"/>
      <c r="J20" s="16"/>
      <c r="K20" s="14"/>
      <c r="L20" s="14"/>
      <c r="M20" s="14"/>
      <c r="N20" s="14"/>
      <c r="O20" s="14"/>
      <c r="P20" s="14"/>
    </row>
    <row r="21" spans="1:20" ht="20.100000000000001" customHeight="1">
      <c r="A21" s="37" t="s">
        <v>197</v>
      </c>
      <c r="B21" s="15" t="s">
        <v>40</v>
      </c>
      <c r="C21" s="164">
        <f ca="1">IF(C9&gt;0,C18/C9*1000," ")</f>
        <v>105.79818451470682</v>
      </c>
      <c r="D21" s="164">
        <f t="shared" ref="D21:H21" ca="1" si="3">IF(D9&gt;0,D18/D9*1000," ")</f>
        <v>96.92016273224327</v>
      </c>
      <c r="E21" s="164">
        <f t="shared" ca="1" si="3"/>
        <v>107.61372110365399</v>
      </c>
      <c r="F21" s="164">
        <f t="shared" ca="1" si="3"/>
        <v>100.63381120686232</v>
      </c>
      <c r="G21" s="164">
        <f t="shared" ca="1" si="3"/>
        <v>107.65753461745568</v>
      </c>
      <c r="H21" s="164">
        <f t="shared" ca="1" si="3"/>
        <v>106.19292693952777</v>
      </c>
      <c r="I21" s="7"/>
      <c r="J21" s="22"/>
      <c r="K21" s="23"/>
      <c r="L21" s="23"/>
      <c r="M21" s="23"/>
      <c r="N21" s="23"/>
      <c r="O21" s="23"/>
      <c r="P21" s="24"/>
      <c r="Q21" s="10"/>
      <c r="R21" s="10"/>
      <c r="S21" s="10"/>
      <c r="T21" s="6"/>
    </row>
    <row r="22" spans="1:20" ht="20.100000000000001" customHeight="1">
      <c r="A22" s="38" t="s">
        <v>63</v>
      </c>
      <c r="B22" s="4" t="s">
        <v>40</v>
      </c>
      <c r="C22" s="341">
        <f ca="1">IF(C10&gt;0,(C18-C14-C15-C16)/C10*1000," ")</f>
        <v>4203.7145313843503</v>
      </c>
      <c r="D22" s="341">
        <f t="shared" ref="D22:H22" ca="1" si="4">IF(D10&gt;0,(D18-D14-D15-D16)/D10*1000," ")</f>
        <v>3830.5316305316305</v>
      </c>
      <c r="E22" s="341">
        <f t="shared" ca="1" si="4"/>
        <v>4230.7241278217525</v>
      </c>
      <c r="F22" s="341">
        <f t="shared" ca="1" si="4"/>
        <v>3925.2455156603369</v>
      </c>
      <c r="G22" s="341">
        <f t="shared" ca="1" si="4"/>
        <v>4232.4466116097346</v>
      </c>
      <c r="H22" s="341">
        <f t="shared" ca="1" si="4"/>
        <v>4174.867048546078</v>
      </c>
      <c r="I22" s="6"/>
      <c r="J22" s="22"/>
      <c r="K22" s="23"/>
      <c r="L22" s="23"/>
      <c r="M22" s="23"/>
      <c r="N22" s="23"/>
      <c r="O22" s="23"/>
      <c r="P22" s="24"/>
      <c r="Q22" s="10"/>
      <c r="R22" s="10"/>
      <c r="S22" s="10"/>
      <c r="T22" s="6"/>
    </row>
    <row r="23" spans="1:20" ht="20.100000000000001" customHeight="1">
      <c r="A23" s="38" t="s">
        <v>62</v>
      </c>
      <c r="B23" s="4" t="s">
        <v>40</v>
      </c>
      <c r="C23" s="341">
        <f>IF(C10&gt;0,SUM(C14:C16)/C10*1000," ")</f>
        <v>0</v>
      </c>
      <c r="D23" s="341">
        <f t="shared" ref="D23:H23" si="5">IF(D10&gt;0,SUM(D14:D16)/D10*1000," ")</f>
        <v>0</v>
      </c>
      <c r="E23" s="341">
        <f t="shared" si="5"/>
        <v>0</v>
      </c>
      <c r="F23" s="341">
        <f t="shared" si="5"/>
        <v>0</v>
      </c>
      <c r="G23" s="341">
        <f t="shared" si="5"/>
        <v>0</v>
      </c>
      <c r="H23" s="341">
        <f t="shared" si="5"/>
        <v>0</v>
      </c>
      <c r="J23" s="24"/>
      <c r="K23" s="25"/>
      <c r="L23" s="25"/>
      <c r="M23" s="25"/>
      <c r="N23" s="25"/>
      <c r="O23" s="25"/>
      <c r="P23" s="25"/>
      <c r="Q23" s="11"/>
      <c r="R23" s="10"/>
      <c r="S23" s="10"/>
      <c r="T23" s="6"/>
    </row>
    <row r="24" spans="1:20" ht="20.100000000000001" customHeight="1">
      <c r="A24" s="39" t="s">
        <v>39</v>
      </c>
      <c r="B24" s="40" t="s">
        <v>40</v>
      </c>
      <c r="C24" s="342">
        <f ca="1">IF(C10&gt;0,C18/C10*1000," ")</f>
        <v>4203.7145313843503</v>
      </c>
      <c r="D24" s="342">
        <f t="shared" ref="D24:H24" ca="1" si="6">IF(D10&gt;0,D18/D10*1000," ")</f>
        <v>3830.5316305316305</v>
      </c>
      <c r="E24" s="342">
        <f t="shared" ca="1" si="6"/>
        <v>4230.7241278217525</v>
      </c>
      <c r="F24" s="342">
        <f t="shared" ca="1" si="6"/>
        <v>3925.2455156603369</v>
      </c>
      <c r="G24" s="342">
        <f t="shared" ca="1" si="6"/>
        <v>4232.4466116097346</v>
      </c>
      <c r="H24" s="342">
        <f t="shared" ca="1" si="6"/>
        <v>4174.867048546078</v>
      </c>
      <c r="K24" s="6"/>
      <c r="L24" s="6"/>
      <c r="M24" s="6"/>
      <c r="N24" s="6"/>
      <c r="O24" s="6"/>
      <c r="P24" s="6"/>
      <c r="Q24" s="6"/>
      <c r="R24" s="6"/>
      <c r="S24" s="6"/>
    </row>
    <row r="25" spans="1:20" ht="15.75" customHeight="1">
      <c r="A25" s="41"/>
      <c r="B25" s="41"/>
      <c r="C25" s="42"/>
      <c r="D25" s="42"/>
      <c r="E25" s="42"/>
      <c r="F25" s="42"/>
      <c r="G25" s="79"/>
      <c r="H25" s="42"/>
      <c r="K25" s="6"/>
      <c r="L25" s="6"/>
      <c r="M25" s="6"/>
      <c r="N25" s="6"/>
      <c r="O25" s="6"/>
      <c r="P25" s="6"/>
      <c r="Q25" s="6"/>
      <c r="R25" s="6"/>
      <c r="S25" s="6"/>
    </row>
    <row r="26" spans="1:20" ht="20.100000000000001" customHeight="1">
      <c r="A26" s="32" t="s">
        <v>69</v>
      </c>
      <c r="B26" s="4"/>
      <c r="C26" s="4"/>
      <c r="D26" s="4"/>
      <c r="E26" s="4"/>
      <c r="F26" s="4"/>
      <c r="G26" s="78"/>
      <c r="H26" s="4"/>
    </row>
    <row r="27" spans="1:20" ht="20.100000000000001" customHeight="1">
      <c r="A27" s="35" t="s">
        <v>158</v>
      </c>
      <c r="B27" s="53" t="s">
        <v>40</v>
      </c>
      <c r="C27" s="338">
        <f>'BASIS-regneark'!C32+'BASIS-regneark'!C33</f>
        <v>358050</v>
      </c>
      <c r="D27" s="161">
        <f>'BASIS-regneark'!D32+'BASIS-regneark'!D33</f>
        <v>356000</v>
      </c>
      <c r="E27" s="161">
        <f>'BASIS-regneark'!E32+'BASIS-regneark'!E33</f>
        <v>347000</v>
      </c>
      <c r="F27" s="161">
        <f>'BASIS-regneark'!F32+'BASIS-regneark'!F33</f>
        <v>227000</v>
      </c>
      <c r="G27" s="161">
        <f>'BASIS-regneark'!G32+'BASIS-regneark'!G33</f>
        <v>223600</v>
      </c>
      <c r="H27" s="161">
        <f>'BASIS-regneark'!H32+'BASIS-regneark'!H33</f>
        <v>201100</v>
      </c>
      <c r="I27" s="7"/>
    </row>
    <row r="28" spans="1:20" ht="20.100000000000001" customHeight="1">
      <c r="A28" s="37" t="s">
        <v>202</v>
      </c>
      <c r="B28" s="55" t="s">
        <v>40</v>
      </c>
      <c r="C28" s="339">
        <f>'Indtastningsark-X'!D31</f>
        <v>0</v>
      </c>
      <c r="D28" s="339">
        <f>'Indtastningsark-X'!E31</f>
        <v>0</v>
      </c>
      <c r="E28" s="339">
        <f>'Indtastningsark-X'!F31</f>
        <v>0</v>
      </c>
      <c r="F28" s="339">
        <f>'Indtastningsark-X'!G31*1000</f>
        <v>0</v>
      </c>
      <c r="G28" s="339">
        <f>'Indtastningsark-X'!H31*1000</f>
        <v>0</v>
      </c>
      <c r="H28" s="339">
        <f>'Indtastningsark-X'!I31*1000</f>
        <v>0</v>
      </c>
      <c r="I28" s="7"/>
    </row>
    <row r="29" spans="1:20" ht="20.100000000000001" customHeight="1">
      <c r="A29" s="38" t="s">
        <v>64</v>
      </c>
      <c r="B29" s="4" t="s">
        <v>40</v>
      </c>
      <c r="C29" s="165">
        <f>IF(C27&gt;0,C27/C10)</f>
        <v>954.8</v>
      </c>
      <c r="D29" s="165">
        <f t="shared" ref="D29:H29" si="7">IF(D27&gt;0,D27/D10)</f>
        <v>944.29708222811666</v>
      </c>
      <c r="E29" s="165">
        <f t="shared" si="7"/>
        <v>915.56728232189971</v>
      </c>
      <c r="F29" s="165">
        <f t="shared" si="7"/>
        <v>594.24083769633512</v>
      </c>
      <c r="G29" s="165">
        <f t="shared" si="7"/>
        <v>589.97361477572565</v>
      </c>
      <c r="H29" s="165">
        <f t="shared" si="7"/>
        <v>530.60686015831129</v>
      </c>
      <c r="I29" s="7"/>
      <c r="K29"/>
      <c r="L29"/>
      <c r="M29"/>
      <c r="N29"/>
      <c r="O29"/>
      <c r="P29"/>
      <c r="Q29"/>
    </row>
    <row r="30" spans="1:20" ht="20.100000000000001" customHeight="1">
      <c r="A30" s="38" t="s">
        <v>155</v>
      </c>
      <c r="B30" s="4" t="s">
        <v>40</v>
      </c>
      <c r="C30" s="165" t="str">
        <f>IF(C28&gt;0,C28/C10,"")</f>
        <v/>
      </c>
      <c r="D30" s="165" t="str">
        <f t="shared" ref="D30:H30" si="8">IF(D28&gt;0,D28/D10,"")</f>
        <v/>
      </c>
      <c r="E30" s="165" t="str">
        <f t="shared" si="8"/>
        <v/>
      </c>
      <c r="F30" s="165" t="str">
        <f t="shared" si="8"/>
        <v/>
      </c>
      <c r="G30" s="165" t="str">
        <f t="shared" si="8"/>
        <v/>
      </c>
      <c r="H30" s="165" t="str">
        <f t="shared" si="8"/>
        <v/>
      </c>
      <c r="I30" s="7"/>
      <c r="J30"/>
      <c r="K30"/>
      <c r="L30"/>
      <c r="M30"/>
      <c r="N30"/>
      <c r="O30"/>
      <c r="P30"/>
      <c r="Q30"/>
      <c r="R30" s="11"/>
      <c r="S30" s="12"/>
      <c r="T30" s="6"/>
    </row>
    <row r="31" spans="1:20" ht="20.100000000000001" customHeight="1">
      <c r="A31" s="39" t="s">
        <v>41</v>
      </c>
      <c r="B31" s="41" t="s">
        <v>40</v>
      </c>
      <c r="C31" s="166">
        <f>SUM(C29:C30)</f>
        <v>954.8</v>
      </c>
      <c r="D31" s="166">
        <f t="shared" ref="D31:H31" si="9">SUM(D29:D30)</f>
        <v>944.29708222811666</v>
      </c>
      <c r="E31" s="166">
        <f t="shared" si="9"/>
        <v>915.56728232189971</v>
      </c>
      <c r="F31" s="166">
        <f t="shared" si="9"/>
        <v>594.24083769633512</v>
      </c>
      <c r="G31" s="166">
        <f t="shared" si="9"/>
        <v>589.97361477572565</v>
      </c>
      <c r="H31" s="166">
        <f t="shared" si="9"/>
        <v>530.60686015831129</v>
      </c>
      <c r="I31" s="57"/>
      <c r="J31"/>
      <c r="K31"/>
      <c r="L31"/>
      <c r="M31"/>
      <c r="N31"/>
      <c r="O31"/>
      <c r="P31"/>
      <c r="Q31"/>
      <c r="R31" s="11"/>
      <c r="S31" s="12"/>
      <c r="T31" s="6"/>
    </row>
    <row r="32" spans="1:20" ht="15.75" customHeight="1">
      <c r="A32" s="36"/>
      <c r="B32" s="36"/>
      <c r="C32" s="36"/>
      <c r="D32" s="36"/>
      <c r="E32" s="36"/>
      <c r="F32" s="36"/>
      <c r="G32" s="77"/>
      <c r="H32" s="36"/>
      <c r="J32"/>
      <c r="K32"/>
      <c r="L32"/>
      <c r="M32"/>
      <c r="N32"/>
      <c r="O32"/>
      <c r="P32"/>
      <c r="Q32"/>
    </row>
    <row r="33" spans="1:20" ht="20.100000000000001" customHeight="1">
      <c r="A33" s="32" t="s">
        <v>70</v>
      </c>
      <c r="B33" s="4"/>
      <c r="C33" s="4"/>
      <c r="D33" s="4"/>
      <c r="E33" s="4"/>
      <c r="F33" s="4"/>
      <c r="G33" s="78"/>
      <c r="H33" s="4"/>
      <c r="J33"/>
      <c r="K33"/>
      <c r="L33"/>
      <c r="M33"/>
      <c r="N33"/>
      <c r="O33"/>
      <c r="P33"/>
      <c r="Q33"/>
    </row>
    <row r="34" spans="1:20" ht="20.100000000000001" customHeight="1">
      <c r="A34" s="35" t="s">
        <v>65</v>
      </c>
      <c r="B34" s="36" t="s">
        <v>99</v>
      </c>
      <c r="C34" s="141">
        <f>'BASIS-regneark'!C43</f>
        <v>11980</v>
      </c>
      <c r="D34" s="141">
        <f>'BASIS-regneark'!D43</f>
        <v>11440</v>
      </c>
      <c r="E34" s="141">
        <f>'BASIS-regneark'!E43</f>
        <v>12040</v>
      </c>
      <c r="F34" s="141">
        <f>'BASIS-regneark'!F43</f>
        <v>12020</v>
      </c>
      <c r="G34" s="141">
        <f>'BASIS-regneark'!G43</f>
        <v>11600</v>
      </c>
      <c r="H34" s="142">
        <f>'BASIS-regneark'!H43</f>
        <v>11750</v>
      </c>
      <c r="I34" s="7"/>
      <c r="J34"/>
      <c r="K34"/>
      <c r="L34"/>
      <c r="M34"/>
      <c r="N34"/>
      <c r="O34"/>
      <c r="P34"/>
      <c r="Q34"/>
    </row>
    <row r="35" spans="1:20" ht="20.100000000000001" customHeight="1">
      <c r="A35" s="38" t="s">
        <v>66</v>
      </c>
      <c r="B35" s="54" t="s">
        <v>99</v>
      </c>
      <c r="C35" s="126">
        <f>'Indtastningsark-X'!D34</f>
        <v>0</v>
      </c>
      <c r="D35" s="126">
        <f>'Indtastningsark-X'!E34</f>
        <v>0</v>
      </c>
      <c r="E35" s="126">
        <f>'Indtastningsark-X'!F34</f>
        <v>0</v>
      </c>
      <c r="F35" s="126">
        <f>'Indtastningsark-X'!G34</f>
        <v>0</v>
      </c>
      <c r="G35" s="126">
        <f>'Indtastningsark-X'!H34</f>
        <v>0</v>
      </c>
      <c r="H35" s="126">
        <f>'Indtastningsark-X'!I34</f>
        <v>0</v>
      </c>
      <c r="I35" s="7"/>
      <c r="J35"/>
      <c r="K35"/>
      <c r="L35"/>
      <c r="M35"/>
      <c r="N35"/>
      <c r="O35"/>
      <c r="P35"/>
      <c r="Q35"/>
    </row>
    <row r="36" spans="1:20" ht="20.100000000000001" customHeight="1">
      <c r="A36" s="37" t="s">
        <v>89</v>
      </c>
      <c r="B36" s="15" t="s">
        <v>99</v>
      </c>
      <c r="C36" s="126">
        <f>'Indtastningsark-X'!D35</f>
        <v>0</v>
      </c>
      <c r="D36" s="126">
        <f>'Indtastningsark-X'!E35</f>
        <v>0</v>
      </c>
      <c r="E36" s="126">
        <f>'Indtastningsark-X'!F35</f>
        <v>0</v>
      </c>
      <c r="F36" s="126">
        <f>'Indtastningsark-X'!G35</f>
        <v>0</v>
      </c>
      <c r="G36" s="126">
        <f>'Indtastningsark-X'!H35</f>
        <v>0</v>
      </c>
      <c r="H36" s="126">
        <f>'Indtastningsark-X'!I35</f>
        <v>0</v>
      </c>
      <c r="I36" s="7"/>
      <c r="J36"/>
      <c r="K36"/>
      <c r="L36"/>
      <c r="M36"/>
      <c r="N36"/>
      <c r="O36"/>
      <c r="P36"/>
      <c r="Q36"/>
    </row>
    <row r="37" spans="1:20" ht="20.100000000000001" customHeight="1">
      <c r="A37" s="38" t="s">
        <v>67</v>
      </c>
      <c r="B37" s="5" t="s">
        <v>99</v>
      </c>
      <c r="C37" s="167">
        <f t="shared" ref="C37:H37" si="10">IF(C10&gt;0,C34/C10," ")</f>
        <v>31.946666666666665</v>
      </c>
      <c r="D37" s="167">
        <f t="shared" si="10"/>
        <v>30.344827586206897</v>
      </c>
      <c r="E37" s="167">
        <f t="shared" si="10"/>
        <v>31.767810026385224</v>
      </c>
      <c r="F37" s="167">
        <f t="shared" si="10"/>
        <v>31.465968586387433</v>
      </c>
      <c r="G37" s="167">
        <f t="shared" si="10"/>
        <v>30.606860158311346</v>
      </c>
      <c r="H37" s="168">
        <f t="shared" si="10"/>
        <v>31.002638522427439</v>
      </c>
      <c r="I37" s="7"/>
      <c r="J37"/>
      <c r="K37"/>
      <c r="L37"/>
      <c r="M37"/>
      <c r="N37"/>
      <c r="O37"/>
      <c r="P37"/>
      <c r="Q37"/>
    </row>
    <row r="38" spans="1:20" ht="20.100000000000001" customHeight="1">
      <c r="A38" s="38" t="s">
        <v>90</v>
      </c>
      <c r="B38" s="5" t="s">
        <v>99</v>
      </c>
      <c r="C38" s="167">
        <f t="shared" ref="C38:H38" si="11">IF(C10&gt;0,(C35+C36)/C10," ")</f>
        <v>0</v>
      </c>
      <c r="D38" s="167">
        <f t="shared" si="11"/>
        <v>0</v>
      </c>
      <c r="E38" s="167">
        <f t="shared" si="11"/>
        <v>0</v>
      </c>
      <c r="F38" s="167">
        <f t="shared" si="11"/>
        <v>0</v>
      </c>
      <c r="G38" s="167">
        <f t="shared" si="11"/>
        <v>0</v>
      </c>
      <c r="H38" s="168">
        <f t="shared" si="11"/>
        <v>0</v>
      </c>
      <c r="I38" s="7"/>
      <c r="J38"/>
      <c r="K38"/>
      <c r="L38"/>
      <c r="M38"/>
      <c r="N38"/>
      <c r="O38"/>
      <c r="P38"/>
      <c r="Q38"/>
    </row>
    <row r="39" spans="1:20" ht="20.100000000000001" customHeight="1">
      <c r="A39" s="56" t="s">
        <v>43</v>
      </c>
      <c r="B39" s="41" t="s">
        <v>100</v>
      </c>
      <c r="C39" s="169">
        <f t="shared" ref="C39:H39" si="12">IF(C10&gt;0,(C34+C35)/C10," ")</f>
        <v>31.946666666666665</v>
      </c>
      <c r="D39" s="169">
        <f t="shared" si="12"/>
        <v>30.344827586206897</v>
      </c>
      <c r="E39" s="169">
        <f t="shared" si="12"/>
        <v>31.767810026385224</v>
      </c>
      <c r="F39" s="169">
        <f t="shared" si="12"/>
        <v>31.465968586387433</v>
      </c>
      <c r="G39" s="169">
        <f t="shared" si="12"/>
        <v>30.606860158311346</v>
      </c>
      <c r="H39" s="227">
        <f t="shared" si="12"/>
        <v>31.002638522427439</v>
      </c>
      <c r="I39" s="7"/>
      <c r="J39"/>
      <c r="K39"/>
      <c r="L39"/>
      <c r="M39"/>
      <c r="N39"/>
      <c r="O39"/>
      <c r="P39"/>
      <c r="Q39"/>
    </row>
    <row r="40" spans="1:20" ht="20.100000000000001" customHeight="1">
      <c r="A40" s="89" t="s">
        <v>44</v>
      </c>
      <c r="B40" s="85" t="s">
        <v>33</v>
      </c>
      <c r="C40" s="170">
        <f t="shared" ref="C40:H40" si="13">IF(C10&gt;0,C39*1000/365," ")</f>
        <v>87.525114155251131</v>
      </c>
      <c r="D40" s="170">
        <f t="shared" si="13"/>
        <v>83.136513934813422</v>
      </c>
      <c r="E40" s="170">
        <f t="shared" si="13"/>
        <v>87.035095962699245</v>
      </c>
      <c r="F40" s="170">
        <f t="shared" si="13"/>
        <v>86.208133113390232</v>
      </c>
      <c r="G40" s="170">
        <f t="shared" si="13"/>
        <v>83.854411392633821</v>
      </c>
      <c r="H40" s="171">
        <f t="shared" si="13"/>
        <v>84.938735677883386</v>
      </c>
      <c r="I40" s="7"/>
      <c r="J40"/>
      <c r="K40"/>
      <c r="L40"/>
      <c r="M40"/>
      <c r="N40"/>
      <c r="O40"/>
      <c r="P40"/>
      <c r="Q40"/>
      <c r="R40" s="6"/>
      <c r="S40" s="6"/>
      <c r="T40" s="6"/>
    </row>
    <row r="41" spans="1:20" ht="15.75" customHeight="1">
      <c r="A41" s="36"/>
      <c r="B41" s="36"/>
      <c r="C41" s="36"/>
      <c r="D41" s="36"/>
      <c r="E41" s="36"/>
      <c r="F41" s="36"/>
      <c r="G41" s="77"/>
      <c r="H41" s="36"/>
      <c r="J41"/>
      <c r="K41"/>
      <c r="L41"/>
      <c r="M41"/>
      <c r="N41"/>
      <c r="O41"/>
      <c r="P41"/>
      <c r="Q41"/>
      <c r="R41" s="6"/>
      <c r="S41" s="6"/>
    </row>
    <row r="42" spans="1:20" ht="20.100000000000001" customHeight="1">
      <c r="A42" s="103" t="s">
        <v>71</v>
      </c>
      <c r="B42" s="4"/>
      <c r="C42" s="4"/>
      <c r="D42" s="4"/>
      <c r="E42" s="4"/>
      <c r="F42" s="4"/>
      <c r="G42" s="78"/>
      <c r="H42" s="4"/>
    </row>
    <row r="43" spans="1:20" ht="20.100000000000001" customHeight="1">
      <c r="A43" s="38" t="s">
        <v>130</v>
      </c>
      <c r="B43" s="36" t="s">
        <v>45</v>
      </c>
      <c r="C43" s="160">
        <f>'BASIS-regneark'!C55</f>
        <v>132.39999999999998</v>
      </c>
      <c r="D43" s="160">
        <f>'BASIS-regneark'!D55</f>
        <v>135.1</v>
      </c>
      <c r="E43" s="160">
        <f>'BASIS-regneark'!E55</f>
        <v>127.60000000000001</v>
      </c>
      <c r="F43" s="160">
        <f>'BASIS-regneark'!F55</f>
        <v>129.64000000000001</v>
      </c>
      <c r="G43" s="160">
        <f>'BASIS-regneark'!G55</f>
        <v>122.7</v>
      </c>
      <c r="H43" s="163">
        <f>'BASIS-regneark'!H55</f>
        <v>118.5</v>
      </c>
      <c r="I43" s="7"/>
    </row>
    <row r="44" spans="1:20" ht="20.100000000000001" customHeight="1">
      <c r="A44" s="38" t="s">
        <v>88</v>
      </c>
      <c r="B44" s="5" t="s">
        <v>45</v>
      </c>
      <c r="C44" s="126">
        <f>'Indtastningsark-X'!D38</f>
        <v>0</v>
      </c>
      <c r="D44" s="126">
        <f>'Indtastningsark-X'!E38</f>
        <v>0</v>
      </c>
      <c r="E44" s="126">
        <f>'Indtastningsark-X'!F38</f>
        <v>0</v>
      </c>
      <c r="F44" s="126">
        <f>'Indtastningsark-X'!G38</f>
        <v>0</v>
      </c>
      <c r="G44" s="126">
        <f>'Indtastningsark-X'!H38</f>
        <v>0</v>
      </c>
      <c r="H44" s="126">
        <f>'Indtastningsark-X'!I38</f>
        <v>0</v>
      </c>
      <c r="I44" s="7"/>
    </row>
    <row r="45" spans="1:20" ht="20.100000000000001" customHeight="1">
      <c r="A45" s="38" t="s">
        <v>46</v>
      </c>
      <c r="B45" s="5" t="s">
        <v>45</v>
      </c>
      <c r="C45" s="126">
        <f>'Indtastningsark-X'!D39</f>
        <v>0</v>
      </c>
      <c r="D45" s="126">
        <f>'Indtastningsark-X'!E39</f>
        <v>0</v>
      </c>
      <c r="E45" s="126">
        <f>'Indtastningsark-X'!F39</f>
        <v>0</v>
      </c>
      <c r="F45" s="126">
        <f>'Indtastningsark-X'!G39</f>
        <v>0</v>
      </c>
      <c r="G45" s="126">
        <f>'Indtastningsark-X'!H39</f>
        <v>0</v>
      </c>
      <c r="H45" s="126">
        <f>'Indtastningsark-X'!I39</f>
        <v>0</v>
      </c>
      <c r="I45" s="7"/>
    </row>
    <row r="46" spans="1:20" ht="20.100000000000001" customHeight="1">
      <c r="A46" s="38" t="s">
        <v>47</v>
      </c>
      <c r="B46" s="5" t="s">
        <v>45</v>
      </c>
      <c r="C46" s="126">
        <f>'Indtastningsark-X'!D40</f>
        <v>0</v>
      </c>
      <c r="D46" s="126">
        <f>'Indtastningsark-X'!E40</f>
        <v>0</v>
      </c>
      <c r="E46" s="126">
        <f>'Indtastningsark-X'!F40</f>
        <v>0</v>
      </c>
      <c r="F46" s="126">
        <f>'Indtastningsark-X'!G40</f>
        <v>0</v>
      </c>
      <c r="G46" s="126">
        <f>'Indtastningsark-X'!H40</f>
        <v>0</v>
      </c>
      <c r="H46" s="126">
        <f>'Indtastningsark-X'!I40</f>
        <v>0</v>
      </c>
      <c r="I46" s="7"/>
    </row>
    <row r="47" spans="1:20" ht="20.100000000000001" customHeight="1">
      <c r="A47" s="38" t="s">
        <v>186</v>
      </c>
      <c r="B47" s="5" t="s">
        <v>45</v>
      </c>
      <c r="C47" s="126">
        <f>'Indtastningsark-X'!D41</f>
        <v>0</v>
      </c>
      <c r="D47" s="126">
        <f>'Indtastningsark-X'!E41</f>
        <v>0</v>
      </c>
      <c r="E47" s="126">
        <f>'Indtastningsark-X'!F41</f>
        <v>0</v>
      </c>
      <c r="F47" s="126">
        <f>'Indtastningsark-X'!G41</f>
        <v>0</v>
      </c>
      <c r="G47" s="126">
        <f>'Indtastningsark-X'!H41</f>
        <v>0</v>
      </c>
      <c r="H47" s="126">
        <f>'Indtastningsark-X'!I41</f>
        <v>0</v>
      </c>
      <c r="I47" s="7"/>
    </row>
    <row r="48" spans="1:20" ht="20.100000000000001" customHeight="1">
      <c r="A48" s="38" t="s">
        <v>48</v>
      </c>
      <c r="B48" s="5" t="s">
        <v>45</v>
      </c>
      <c r="C48" s="160">
        <f t="shared" ref="C48:H48" si="14">SUM(C44:C47)</f>
        <v>0</v>
      </c>
      <c r="D48" s="160">
        <f t="shared" si="14"/>
        <v>0</v>
      </c>
      <c r="E48" s="160">
        <f t="shared" si="14"/>
        <v>0</v>
      </c>
      <c r="F48" s="160">
        <f t="shared" si="14"/>
        <v>0</v>
      </c>
      <c r="G48" s="160">
        <f t="shared" si="14"/>
        <v>0</v>
      </c>
      <c r="H48" s="163">
        <f t="shared" si="14"/>
        <v>0</v>
      </c>
      <c r="I48" s="7"/>
    </row>
    <row r="49" spans="1:20" ht="20.100000000000001" customHeight="1">
      <c r="A49" s="37" t="s">
        <v>129</v>
      </c>
      <c r="B49" s="15" t="s">
        <v>45</v>
      </c>
      <c r="C49" s="160">
        <f t="shared" ref="C49:H49" si="15">C43+C48</f>
        <v>132.39999999999998</v>
      </c>
      <c r="D49" s="160">
        <f t="shared" si="15"/>
        <v>135.1</v>
      </c>
      <c r="E49" s="160">
        <f t="shared" si="15"/>
        <v>127.60000000000001</v>
      </c>
      <c r="F49" s="160">
        <f t="shared" si="15"/>
        <v>129.64000000000001</v>
      </c>
      <c r="G49" s="160">
        <f t="shared" si="15"/>
        <v>122.7</v>
      </c>
      <c r="H49" s="163">
        <f t="shared" si="15"/>
        <v>118.5</v>
      </c>
      <c r="I49" s="7"/>
    </row>
    <row r="50" spans="1:20" ht="20.100000000000001" customHeight="1">
      <c r="A50" s="38" t="s">
        <v>14</v>
      </c>
      <c r="B50" s="32" t="s">
        <v>49</v>
      </c>
      <c r="C50" s="169">
        <f t="shared" ref="C50:H50" si="16">IF(C43&gt;0,C43/C10*1000," ")</f>
        <v>353.06666666666661</v>
      </c>
      <c r="D50" s="169">
        <f t="shared" si="16"/>
        <v>358.35543766578246</v>
      </c>
      <c r="E50" s="169">
        <f t="shared" si="16"/>
        <v>336.67546174142484</v>
      </c>
      <c r="F50" s="169">
        <f t="shared" si="16"/>
        <v>339.37172774869111</v>
      </c>
      <c r="G50" s="169">
        <f t="shared" si="16"/>
        <v>323.74670184696566</v>
      </c>
      <c r="H50" s="227">
        <f t="shared" si="16"/>
        <v>312.66490765171505</v>
      </c>
      <c r="I50" s="7"/>
    </row>
    <row r="51" spans="1:20" ht="20.100000000000001" customHeight="1">
      <c r="A51" s="38" t="s">
        <v>127</v>
      </c>
      <c r="B51" s="5" t="s">
        <v>49</v>
      </c>
      <c r="C51" s="167">
        <f t="shared" ref="C51:H51" si="17">IF(C43&gt;0,C48/C10*1000," ")</f>
        <v>0</v>
      </c>
      <c r="D51" s="167">
        <f t="shared" si="17"/>
        <v>0</v>
      </c>
      <c r="E51" s="167">
        <f t="shared" si="17"/>
        <v>0</v>
      </c>
      <c r="F51" s="167">
        <f t="shared" si="17"/>
        <v>0</v>
      </c>
      <c r="G51" s="167">
        <f t="shared" si="17"/>
        <v>0</v>
      </c>
      <c r="H51" s="168">
        <f t="shared" si="17"/>
        <v>0</v>
      </c>
      <c r="I51" s="7"/>
    </row>
    <row r="52" spans="1:20" ht="20.100000000000001" customHeight="1">
      <c r="A52" s="37" t="s">
        <v>123</v>
      </c>
      <c r="B52" s="4" t="s">
        <v>49</v>
      </c>
      <c r="C52" s="167">
        <f t="shared" ref="C52:H52" si="18">IF(C43&gt;0,C49/C10*1000," ")</f>
        <v>353.06666666666661</v>
      </c>
      <c r="D52" s="167">
        <f t="shared" si="18"/>
        <v>358.35543766578246</v>
      </c>
      <c r="E52" s="167">
        <f t="shared" si="18"/>
        <v>336.67546174142484</v>
      </c>
      <c r="F52" s="167">
        <f t="shared" si="18"/>
        <v>339.37172774869111</v>
      </c>
      <c r="G52" s="167">
        <f t="shared" si="18"/>
        <v>323.74670184696566</v>
      </c>
      <c r="H52" s="168">
        <f t="shared" si="18"/>
        <v>312.66490765171505</v>
      </c>
      <c r="I52" s="7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20.100000000000001" customHeight="1">
      <c r="A53" s="101" t="s">
        <v>77</v>
      </c>
      <c r="B53" s="102" t="s">
        <v>78</v>
      </c>
      <c r="C53" s="172">
        <f t="shared" ref="C53:H53" si="19">IF(C43&gt;0,C48/C49*100," ")</f>
        <v>0</v>
      </c>
      <c r="D53" s="172">
        <f t="shared" si="19"/>
        <v>0</v>
      </c>
      <c r="E53" s="172">
        <f t="shared" si="19"/>
        <v>0</v>
      </c>
      <c r="F53" s="172">
        <f t="shared" si="19"/>
        <v>0</v>
      </c>
      <c r="G53" s="172">
        <f t="shared" si="19"/>
        <v>0</v>
      </c>
      <c r="H53" s="172">
        <f t="shared" si="19"/>
        <v>0</v>
      </c>
      <c r="I53" s="6"/>
      <c r="K53" s="6"/>
      <c r="L53" s="6"/>
      <c r="M53" s="6"/>
      <c r="N53" s="6"/>
      <c r="O53" s="6"/>
      <c r="P53" s="6"/>
      <c r="Q53" s="6"/>
      <c r="R53" s="6"/>
      <c r="S53" s="6"/>
    </row>
    <row r="54" spans="1:20" ht="17.25" customHeight="1">
      <c r="A54" s="33"/>
      <c r="B54" s="33"/>
      <c r="C54" s="33"/>
      <c r="D54" s="33"/>
      <c r="E54" s="33"/>
      <c r="F54" s="33"/>
      <c r="G54" s="80"/>
      <c r="H54" s="33"/>
      <c r="I54" s="6"/>
      <c r="K54" s="6"/>
      <c r="L54" s="6"/>
      <c r="M54" s="6"/>
      <c r="N54" s="6"/>
      <c r="O54" s="6"/>
      <c r="P54" s="6"/>
      <c r="Q54" s="6"/>
      <c r="R54" s="6"/>
      <c r="S54" s="6"/>
    </row>
    <row r="55" spans="1:20" ht="20.100000000000001" customHeight="1">
      <c r="A55" s="32" t="s">
        <v>106</v>
      </c>
      <c r="B55" s="4"/>
      <c r="C55" s="4"/>
      <c r="D55" s="4"/>
      <c r="E55" s="4"/>
      <c r="F55" s="4"/>
      <c r="G55" s="78"/>
      <c r="H55" s="4"/>
      <c r="J55"/>
      <c r="K55"/>
      <c r="L55"/>
      <c r="M55"/>
      <c r="N55"/>
      <c r="O55"/>
      <c r="P55"/>
      <c r="Q55"/>
    </row>
    <row r="56" spans="1:20" ht="20.100000000000001" customHeight="1">
      <c r="A56" s="35" t="s">
        <v>135</v>
      </c>
      <c r="B56" s="36" t="s">
        <v>45</v>
      </c>
      <c r="C56" s="141">
        <f>'BASIS-regneark'!C61</f>
        <v>89.858159999999998</v>
      </c>
      <c r="D56" s="141">
        <f>'BASIS-regneark'!D61</f>
        <v>76.264560000000003</v>
      </c>
      <c r="E56" s="141">
        <f>'BASIS-regneark'!E61</f>
        <v>78.741504000000006</v>
      </c>
      <c r="F56" s="141">
        <f>'BASIS-regneark'!F61</f>
        <v>68.965847999999994</v>
      </c>
      <c r="G56" s="141">
        <f>'BASIS-regneark'!G61</f>
        <v>70.522199999999998</v>
      </c>
      <c r="H56" s="142">
        <f>'BASIS-regneark'!H61</f>
        <v>67.117680000000007</v>
      </c>
      <c r="I56" s="6"/>
      <c r="J56"/>
      <c r="K56"/>
      <c r="L56"/>
      <c r="M56"/>
      <c r="N56"/>
      <c r="O56"/>
      <c r="P56"/>
      <c r="Q56"/>
      <c r="R56" s="13"/>
      <c r="S56" s="13"/>
      <c r="T56" s="6"/>
    </row>
    <row r="57" spans="1:20" ht="20.100000000000001" customHeight="1">
      <c r="A57" s="38" t="s">
        <v>136</v>
      </c>
      <c r="B57" s="5" t="s">
        <v>45</v>
      </c>
      <c r="C57" s="141">
        <f>'BASIS-regneark'!C62</f>
        <v>44.756250000000001</v>
      </c>
      <c r="D57" s="141">
        <f>'BASIS-regneark'!D62</f>
        <v>48.415999999999997</v>
      </c>
      <c r="E57" s="141">
        <f>'BASIS-regneark'!E62</f>
        <v>43.027999999999999</v>
      </c>
      <c r="F57" s="141">
        <f>'BASIS-regneark'!F62</f>
        <v>21.792000000000002</v>
      </c>
      <c r="G57" s="141">
        <f>'BASIS-regneark'!G62</f>
        <v>14.0868</v>
      </c>
      <c r="H57" s="142">
        <f>'BASIS-regneark'!H62</f>
        <v>11.060499999999999</v>
      </c>
      <c r="I57" s="6"/>
      <c r="J57"/>
      <c r="K57"/>
      <c r="L57"/>
      <c r="M57"/>
      <c r="N57"/>
      <c r="O57"/>
      <c r="P57"/>
      <c r="Q57"/>
      <c r="R57" s="13"/>
      <c r="S57" s="13"/>
      <c r="T57" s="6"/>
    </row>
    <row r="58" spans="1:20" ht="20.100000000000001" customHeight="1">
      <c r="A58" s="37" t="s">
        <v>101</v>
      </c>
      <c r="B58" s="15" t="s">
        <v>45</v>
      </c>
      <c r="C58" s="141">
        <f t="shared" ref="C58:H58" si="20">SUM(C56:C57)</f>
        <v>134.61440999999999</v>
      </c>
      <c r="D58" s="141">
        <f t="shared" si="20"/>
        <v>124.68056</v>
      </c>
      <c r="E58" s="141">
        <f t="shared" si="20"/>
        <v>121.76950400000001</v>
      </c>
      <c r="F58" s="141">
        <f t="shared" si="20"/>
        <v>90.757847999999996</v>
      </c>
      <c r="G58" s="141">
        <f t="shared" si="20"/>
        <v>84.608999999999995</v>
      </c>
      <c r="H58" s="140">
        <f t="shared" si="20"/>
        <v>78.178180000000012</v>
      </c>
      <c r="I58" s="6"/>
      <c r="J58"/>
      <c r="K58"/>
      <c r="L58"/>
      <c r="M58"/>
      <c r="N58"/>
      <c r="O58"/>
      <c r="P58"/>
      <c r="Q58"/>
      <c r="R58" s="6"/>
      <c r="S58" s="6"/>
    </row>
    <row r="59" spans="1:20" ht="20.100000000000001" customHeight="1">
      <c r="A59" s="35" t="s">
        <v>109</v>
      </c>
      <c r="B59" s="50" t="s">
        <v>45</v>
      </c>
      <c r="C59" s="143">
        <f t="shared" ref="C59:H59" si="21">IF(C10&gt;0,C56/C10," ")</f>
        <v>0.23962175999999999</v>
      </c>
      <c r="D59" s="143">
        <f t="shared" si="21"/>
        <v>0.2022932625994695</v>
      </c>
      <c r="E59" s="143">
        <f t="shared" si="21"/>
        <v>0.20776122427440635</v>
      </c>
      <c r="F59" s="143">
        <f t="shared" si="21"/>
        <v>0.18053886910994763</v>
      </c>
      <c r="G59" s="143">
        <f t="shared" si="21"/>
        <v>0.18607440633245381</v>
      </c>
      <c r="H59" s="144">
        <f t="shared" si="21"/>
        <v>0.17709150395778367</v>
      </c>
      <c r="I59" s="6"/>
      <c r="J59"/>
      <c r="K59"/>
      <c r="L59"/>
      <c r="M59"/>
      <c r="N59"/>
      <c r="O59"/>
      <c r="P59"/>
      <c r="Q59"/>
      <c r="R59" s="6"/>
      <c r="S59" s="6"/>
    </row>
    <row r="60" spans="1:20" ht="20.100000000000001" customHeight="1">
      <c r="A60" s="38" t="s">
        <v>110</v>
      </c>
      <c r="B60" s="51" t="s">
        <v>45</v>
      </c>
      <c r="C60" s="143">
        <f t="shared" ref="C60:H60" si="22">IF(C10&gt;0,C57/C10," ")</f>
        <v>0.11935</v>
      </c>
      <c r="D60" s="143">
        <f t="shared" si="22"/>
        <v>0.12842440318302387</v>
      </c>
      <c r="E60" s="143">
        <f t="shared" si="22"/>
        <v>0.11353034300791556</v>
      </c>
      <c r="F60" s="143">
        <f t="shared" si="22"/>
        <v>5.7047120418848171E-2</v>
      </c>
      <c r="G60" s="143">
        <f t="shared" si="22"/>
        <v>3.7168337730870714E-2</v>
      </c>
      <c r="H60" s="173">
        <f t="shared" si="22"/>
        <v>2.9183377308707122E-2</v>
      </c>
      <c r="I60" s="6"/>
      <c r="J60"/>
      <c r="K60"/>
      <c r="L60"/>
      <c r="M60"/>
      <c r="N60"/>
      <c r="O60"/>
      <c r="P60"/>
      <c r="Q60"/>
      <c r="R60" s="6"/>
      <c r="S60" s="6"/>
    </row>
    <row r="61" spans="1:20" ht="20.100000000000001" customHeight="1">
      <c r="A61" s="39" t="s">
        <v>102</v>
      </c>
      <c r="B61" s="40" t="s">
        <v>45</v>
      </c>
      <c r="C61" s="151">
        <f t="shared" ref="C61:H61" si="23">IF(C10&gt;0,C58/C10," ")</f>
        <v>0.35897175999999997</v>
      </c>
      <c r="D61" s="151">
        <f t="shared" si="23"/>
        <v>0.33071766578249334</v>
      </c>
      <c r="E61" s="151">
        <f t="shared" si="23"/>
        <v>0.32129156728232194</v>
      </c>
      <c r="F61" s="151">
        <f t="shared" si="23"/>
        <v>0.23758598952879581</v>
      </c>
      <c r="G61" s="151">
        <f t="shared" si="23"/>
        <v>0.22324274406332453</v>
      </c>
      <c r="H61" s="224">
        <f t="shared" si="23"/>
        <v>0.20627488126649079</v>
      </c>
      <c r="I61" s="6"/>
      <c r="J61"/>
      <c r="K61"/>
      <c r="L61"/>
      <c r="M61"/>
      <c r="N61"/>
      <c r="O61"/>
      <c r="P61"/>
      <c r="Q61"/>
    </row>
    <row r="62" spans="1:20" ht="20.100000000000001" customHeight="1">
      <c r="A62" s="41"/>
      <c r="B62" s="41"/>
      <c r="C62" s="33"/>
      <c r="D62" s="52"/>
      <c r="E62" s="52"/>
      <c r="F62" s="52"/>
      <c r="G62" s="52"/>
      <c r="H62" s="41"/>
      <c r="I62" s="6"/>
      <c r="J62"/>
      <c r="K62"/>
      <c r="L62"/>
      <c r="M62"/>
      <c r="N62"/>
      <c r="O62"/>
      <c r="P62"/>
      <c r="Q62"/>
    </row>
    <row r="63" spans="1:20" ht="20.100000000000001" customHeight="1">
      <c r="A63" s="26"/>
      <c r="B63" s="27"/>
      <c r="C63"/>
      <c r="D63" s="27"/>
      <c r="E63" s="27"/>
      <c r="F63" s="28"/>
      <c r="G63" s="28"/>
      <c r="H63" s="29"/>
      <c r="I63" s="6"/>
      <c r="J63"/>
      <c r="K63"/>
      <c r="L63"/>
      <c r="M63"/>
      <c r="N63"/>
      <c r="O63"/>
      <c r="P63"/>
      <c r="Q63"/>
    </row>
    <row r="64" spans="1:20" ht="15" hidden="1" customHeight="1">
      <c r="A64" s="2"/>
      <c r="B64" s="2"/>
      <c r="C64" s="2"/>
      <c r="D64" s="2"/>
      <c r="E64" s="2"/>
      <c r="F64" s="2"/>
      <c r="G64" s="2"/>
      <c r="H64" s="2"/>
    </row>
    <row r="65" spans="1:6" ht="15" customHeight="1"/>
    <row r="66" spans="1:6" ht="15" customHeight="1"/>
    <row r="73" spans="1:6">
      <c r="A73" s="6"/>
      <c r="B73" s="6"/>
      <c r="C73" s="6"/>
      <c r="D73" s="6"/>
      <c r="E73" s="6"/>
      <c r="F73" s="6"/>
    </row>
    <row r="74" spans="1:6">
      <c r="A74" s="6"/>
      <c r="B74" s="6"/>
      <c r="C74" s="6"/>
      <c r="D74" s="6"/>
      <c r="E74" s="6"/>
      <c r="F74" s="6"/>
    </row>
    <row r="80" spans="1:6">
      <c r="A80" s="6"/>
      <c r="B80" s="6"/>
      <c r="C80" s="6"/>
      <c r="D80" s="6"/>
      <c r="E80" s="6"/>
      <c r="F80" s="6"/>
    </row>
    <row r="81" spans="1:6">
      <c r="A81" s="6"/>
      <c r="B81" s="6"/>
      <c r="C81" s="6"/>
      <c r="D81" s="6"/>
      <c r="E81" s="6"/>
      <c r="F81" s="6"/>
    </row>
    <row r="626" spans="1:1">
      <c r="A626" s="9" t="s">
        <v>32</v>
      </c>
    </row>
    <row r="627" spans="1:1">
      <c r="A627" s="9" t="s">
        <v>50</v>
      </c>
    </row>
    <row r="628" spans="1:1">
      <c r="A628" s="9" t="s">
        <v>51</v>
      </c>
    </row>
    <row r="629" spans="1:1">
      <c r="A629" s="9" t="s">
        <v>52</v>
      </c>
    </row>
    <row r="630" spans="1:1">
      <c r="A630" s="9" t="s">
        <v>53</v>
      </c>
    </row>
    <row r="631" spans="1:1">
      <c r="A631" s="9" t="s">
        <v>54</v>
      </c>
    </row>
  </sheetData>
  <sheetProtection sheet="1" objects="1" scenarios="1"/>
  <phoneticPr fontId="35" type="noConversion"/>
  <printOptions horizontalCentered="1" gridLinesSet="0"/>
  <pageMargins left="0.9055118110236221" right="0.6692913385826772" top="0.39370078740157483" bottom="0.51181102362204722" header="1.1417322834645669" footer="0.39370078740157483"/>
  <pageSetup scale="55" orientation="portrait" r:id="rId1"/>
  <headerFooter alignWithMargins="0">
    <oddFooter>&amp;R&amp;8&amp;F</oddFooter>
  </headerFooter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J17"/>
  <sheetViews>
    <sheetView topLeftCell="A8" zoomScale="120" zoomScaleNormal="120" zoomScalePageLayoutView="80" workbookViewId="0">
      <selection activeCell="S5" sqref="S5"/>
    </sheetView>
  </sheetViews>
  <sheetFormatPr defaultRowHeight="13.2"/>
  <cols>
    <col min="1" max="10" width="8.6640625" customWidth="1"/>
  </cols>
  <sheetData>
    <row r="1" spans="1:10" ht="22.8">
      <c r="A1" s="116" t="str">
        <f>Indtastningsark!A1</f>
        <v>Grønt Regnskab 2025</v>
      </c>
      <c r="B1" s="94"/>
      <c r="C1" s="94"/>
      <c r="D1" s="94"/>
    </row>
    <row r="2" spans="1:10">
      <c r="H2" s="80"/>
      <c r="I2" s="110"/>
    </row>
    <row r="3" spans="1:10" ht="20.399999999999999">
      <c r="A3" s="90" t="str">
        <f>Indtastningsark!D13</f>
        <v>Klimaparken</v>
      </c>
      <c r="H3" s="87"/>
      <c r="J3" s="93" t="s">
        <v>134</v>
      </c>
    </row>
    <row r="4" spans="1:10" ht="12.75" customHeight="1">
      <c r="A4" s="86"/>
      <c r="H4" s="87"/>
    </row>
    <row r="17" ht="9" customHeight="1"/>
  </sheetData>
  <sheetProtection sheet="1" objects="1" scenarios="1"/>
  <phoneticPr fontId="35" type="noConversion"/>
  <pageMargins left="0.98425196850393704" right="0.55118110236220474" top="0.98425196850393704" bottom="0.98425196850393704" header="0.51181102362204722" footer="0.51181102362204722"/>
  <pageSetup paperSize="9" orientation="portrait" r:id="rId1"/>
  <headerFooter alignWithMargins="0">
    <oddFooter>&amp;R&amp;8&amp;Fr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AB143"/>
  <sheetViews>
    <sheetView zoomScale="120" zoomScaleNormal="120" workbookViewId="0">
      <selection activeCell="S31" sqref="S31"/>
    </sheetView>
  </sheetViews>
  <sheetFormatPr defaultRowHeight="13.2"/>
  <cols>
    <col min="1" max="1" width="2.88671875" customWidth="1"/>
    <col min="2" max="2" width="15" customWidth="1"/>
    <col min="3" max="14" width="5.33203125" customWidth="1"/>
    <col min="15" max="16" width="10.33203125" customWidth="1"/>
    <col min="17" max="18" width="4.44140625" customWidth="1"/>
    <col min="19" max="19" width="7.88671875" customWidth="1"/>
    <col min="20" max="20" width="7.33203125" customWidth="1"/>
    <col min="21" max="21" width="4" style="197" customWidth="1"/>
    <col min="22" max="22" width="21.77734375" customWidth="1"/>
    <col min="23" max="23" width="8.5546875" customWidth="1"/>
    <col min="24" max="28" width="8.6640625" customWidth="1"/>
  </cols>
  <sheetData>
    <row r="1" spans="1:28" ht="26.25" customHeight="1">
      <c r="A1" s="136" t="s">
        <v>151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28" ht="12.75" customHeight="1">
      <c r="A2" s="13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28" ht="12.75" customHeight="1">
      <c r="A3" s="13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8" ht="14.25" customHeight="1">
      <c r="A4" s="182"/>
      <c r="B4" s="183"/>
      <c r="C4" s="183"/>
      <c r="D4" s="183"/>
      <c r="E4" s="183"/>
      <c r="F4" s="184"/>
      <c r="G4" s="184"/>
      <c r="H4" s="184"/>
      <c r="I4" s="184"/>
      <c r="J4" s="184"/>
      <c r="K4" s="184"/>
      <c r="L4" s="184"/>
      <c r="M4" s="184"/>
      <c r="N4" s="184"/>
      <c r="O4" s="234" t="s">
        <v>6</v>
      </c>
      <c r="P4" s="185"/>
      <c r="Q4" s="180"/>
      <c r="U4" s="199"/>
      <c r="V4" s="193"/>
      <c r="W4" s="193"/>
      <c r="X4" s="193"/>
    </row>
    <row r="5" spans="1:28" ht="18" customHeight="1">
      <c r="A5" s="184"/>
      <c r="B5" s="186"/>
      <c r="C5" s="187" t="s">
        <v>140</v>
      </c>
      <c r="D5" s="187" t="s">
        <v>141</v>
      </c>
      <c r="E5" s="187" t="s">
        <v>142</v>
      </c>
      <c r="F5" s="187" t="s">
        <v>143</v>
      </c>
      <c r="G5" s="187" t="s">
        <v>132</v>
      </c>
      <c r="H5" s="187" t="s">
        <v>144</v>
      </c>
      <c r="I5" s="187" t="s">
        <v>145</v>
      </c>
      <c r="J5" s="187" t="s">
        <v>146</v>
      </c>
      <c r="K5" s="187" t="s">
        <v>147</v>
      </c>
      <c r="L5" s="187" t="s">
        <v>148</v>
      </c>
      <c r="M5" s="187" t="s">
        <v>149</v>
      </c>
      <c r="N5" s="187" t="s">
        <v>150</v>
      </c>
      <c r="O5" s="187" t="s">
        <v>153</v>
      </c>
      <c r="P5" s="187" t="s">
        <v>4</v>
      </c>
      <c r="Q5" s="188"/>
      <c r="R5" s="189"/>
      <c r="S5" s="189"/>
      <c r="U5" s="202"/>
      <c r="V5" s="203" t="s">
        <v>9</v>
      </c>
      <c r="W5" s="202"/>
    </row>
    <row r="6" spans="1:28" ht="14.4" customHeight="1">
      <c r="A6" s="186"/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8"/>
      <c r="R6" s="189"/>
      <c r="S6" s="189"/>
      <c r="U6" s="204">
        <v>1</v>
      </c>
      <c r="V6" s="205" t="s">
        <v>219</v>
      </c>
      <c r="W6" s="206">
        <f>O7</f>
        <v>2552</v>
      </c>
    </row>
    <row r="7" spans="1:28" ht="13.2" customHeight="1">
      <c r="A7" s="184">
        <v>1</v>
      </c>
      <c r="B7" s="392" t="s">
        <v>189</v>
      </c>
      <c r="C7" s="318">
        <v>469</v>
      </c>
      <c r="D7" s="319">
        <v>427</v>
      </c>
      <c r="E7" s="319">
        <v>407</v>
      </c>
      <c r="F7" s="319">
        <v>231</v>
      </c>
      <c r="G7" s="319">
        <v>52</v>
      </c>
      <c r="H7" s="319"/>
      <c r="I7" s="319"/>
      <c r="J7" s="319"/>
      <c r="K7" s="319">
        <v>20</v>
      </c>
      <c r="L7" s="319">
        <v>191</v>
      </c>
      <c r="M7" s="319">
        <v>326</v>
      </c>
      <c r="N7" s="320">
        <v>429</v>
      </c>
      <c r="O7" s="460">
        <f>SUM(C7:N7)</f>
        <v>2552</v>
      </c>
      <c r="P7" s="214">
        <v>3000</v>
      </c>
      <c r="Q7" s="188"/>
      <c r="R7" s="189"/>
      <c r="S7" s="189"/>
      <c r="U7" s="207">
        <v>2</v>
      </c>
      <c r="V7" s="208" t="s">
        <v>205</v>
      </c>
      <c r="W7" s="209">
        <f>P7</f>
        <v>3000</v>
      </c>
      <c r="X7" s="193"/>
      <c r="Y7" s="193"/>
      <c r="Z7" s="193"/>
      <c r="AA7" s="193"/>
      <c r="AB7" s="193"/>
    </row>
    <row r="8" spans="1:28" s="128" customFormat="1" ht="12" customHeight="1">
      <c r="A8" s="184">
        <v>2</v>
      </c>
      <c r="B8" s="393">
        <v>2019</v>
      </c>
      <c r="C8" s="191">
        <v>460</v>
      </c>
      <c r="D8" s="191">
        <v>338</v>
      </c>
      <c r="E8" s="191">
        <v>342</v>
      </c>
      <c r="F8" s="191">
        <v>160</v>
      </c>
      <c r="G8" s="191">
        <v>109</v>
      </c>
      <c r="H8" s="191">
        <v>0</v>
      </c>
      <c r="I8" s="191">
        <v>0</v>
      </c>
      <c r="J8" s="191">
        <v>0</v>
      </c>
      <c r="K8" s="191">
        <v>20</v>
      </c>
      <c r="L8" s="191">
        <v>137</v>
      </c>
      <c r="M8" s="191">
        <v>303</v>
      </c>
      <c r="N8" s="191">
        <v>368</v>
      </c>
      <c r="O8" s="399">
        <f>SUM(C8:N8)</f>
        <v>2237</v>
      </c>
      <c r="P8" s="459"/>
      <c r="Q8" s="188"/>
      <c r="R8" s="189"/>
      <c r="S8" s="189"/>
      <c r="X8" s="202"/>
      <c r="Y8" s="202"/>
      <c r="Z8" s="202"/>
      <c r="AA8" s="202"/>
      <c r="AB8" s="202"/>
    </row>
    <row r="9" spans="1:28" s="128" customFormat="1">
      <c r="A9" s="184">
        <v>3</v>
      </c>
      <c r="B9" s="394">
        <v>2020</v>
      </c>
      <c r="C9" s="191">
        <v>354</v>
      </c>
      <c r="D9" s="191">
        <v>347</v>
      </c>
      <c r="E9" s="191">
        <v>460</v>
      </c>
      <c r="F9" s="191">
        <v>302</v>
      </c>
      <c r="G9" s="191">
        <v>79</v>
      </c>
      <c r="H9" s="191">
        <v>0</v>
      </c>
      <c r="I9" s="191">
        <v>0</v>
      </c>
      <c r="J9" s="191">
        <v>0</v>
      </c>
      <c r="K9" s="191">
        <v>0</v>
      </c>
      <c r="L9" s="191">
        <v>147</v>
      </c>
      <c r="M9" s="191">
        <v>259</v>
      </c>
      <c r="N9" s="191">
        <v>378</v>
      </c>
      <c r="O9" s="400">
        <f t="shared" ref="O9:O14" si="0">SUM(C9:N9)</f>
        <v>2326</v>
      </c>
      <c r="P9" s="459"/>
      <c r="Q9" s="188"/>
      <c r="R9" s="189"/>
      <c r="S9" s="189"/>
      <c r="U9" s="202"/>
      <c r="V9" s="203" t="s">
        <v>210</v>
      </c>
      <c r="W9" s="202"/>
      <c r="X9" s="202"/>
      <c r="Y9" s="202"/>
      <c r="Z9" s="202"/>
      <c r="AA9" s="202"/>
      <c r="AB9" s="202"/>
    </row>
    <row r="10" spans="1:28" s="128" customFormat="1">
      <c r="A10" s="184">
        <v>4</v>
      </c>
      <c r="B10" s="394">
        <v>2021</v>
      </c>
      <c r="C10" s="191">
        <v>489</v>
      </c>
      <c r="D10" s="191">
        <v>456</v>
      </c>
      <c r="E10" s="191">
        <v>380</v>
      </c>
      <c r="F10" s="191">
        <v>282</v>
      </c>
      <c r="G10" s="191">
        <v>77</v>
      </c>
      <c r="H10" s="191">
        <v>0</v>
      </c>
      <c r="I10" s="191">
        <v>0</v>
      </c>
      <c r="J10" s="191">
        <v>0</v>
      </c>
      <c r="K10" s="191">
        <v>0</v>
      </c>
      <c r="L10" s="191">
        <v>163</v>
      </c>
      <c r="M10" s="191">
        <v>291</v>
      </c>
      <c r="N10" s="191">
        <v>452</v>
      </c>
      <c r="O10" s="400">
        <f t="shared" si="0"/>
        <v>2590</v>
      </c>
      <c r="P10" s="459"/>
      <c r="Q10" s="188"/>
      <c r="R10" s="189"/>
      <c r="S10" s="189"/>
      <c r="U10" s="204">
        <v>1</v>
      </c>
      <c r="V10" s="245" t="s">
        <v>179</v>
      </c>
      <c r="W10" s="258">
        <v>3.5</v>
      </c>
      <c r="X10" s="202"/>
      <c r="Y10" s="202"/>
      <c r="Z10" s="202"/>
      <c r="AA10" s="202"/>
      <c r="AB10" s="202"/>
    </row>
    <row r="11" spans="1:28" s="128" customFormat="1">
      <c r="A11" s="184">
        <v>5</v>
      </c>
      <c r="B11" s="394">
        <v>2022</v>
      </c>
      <c r="C11" s="191">
        <v>401</v>
      </c>
      <c r="D11" s="191">
        <v>359</v>
      </c>
      <c r="E11" s="191">
        <v>382</v>
      </c>
      <c r="F11" s="191">
        <v>257</v>
      </c>
      <c r="G11" s="191">
        <v>0</v>
      </c>
      <c r="H11" s="191">
        <v>0</v>
      </c>
      <c r="I11" s="191">
        <v>0</v>
      </c>
      <c r="J11" s="191">
        <v>0</v>
      </c>
      <c r="K11" s="191">
        <v>35</v>
      </c>
      <c r="L11" s="191">
        <v>25</v>
      </c>
      <c r="M11" s="191">
        <v>259</v>
      </c>
      <c r="N11" s="191">
        <v>460</v>
      </c>
      <c r="O11" s="400">
        <f t="shared" si="0"/>
        <v>2178</v>
      </c>
      <c r="P11" s="459"/>
      <c r="Q11" s="188"/>
      <c r="R11" s="189"/>
      <c r="S11" s="189"/>
      <c r="U11" s="244">
        <v>2</v>
      </c>
      <c r="V11" s="202">
        <v>3</v>
      </c>
      <c r="W11" s="259">
        <v>3</v>
      </c>
      <c r="X11" s="202"/>
      <c r="Y11" s="202"/>
      <c r="Z11" s="202"/>
      <c r="AA11" s="202"/>
      <c r="AB11" s="202"/>
    </row>
    <row r="12" spans="1:28" s="128" customFormat="1">
      <c r="A12" s="184">
        <v>6</v>
      </c>
      <c r="B12" s="394">
        <v>2023</v>
      </c>
      <c r="C12" s="191">
        <v>392</v>
      </c>
      <c r="D12" s="191">
        <v>370</v>
      </c>
      <c r="E12" s="191">
        <v>395</v>
      </c>
      <c r="F12" s="191">
        <v>235</v>
      </c>
      <c r="G12" s="191">
        <v>56</v>
      </c>
      <c r="H12" s="191">
        <v>0</v>
      </c>
      <c r="I12" s="191">
        <v>0</v>
      </c>
      <c r="J12" s="191">
        <v>0</v>
      </c>
      <c r="K12" s="191">
        <v>0</v>
      </c>
      <c r="L12" s="191">
        <v>149</v>
      </c>
      <c r="M12" s="191">
        <v>356</v>
      </c>
      <c r="N12" s="191">
        <v>413</v>
      </c>
      <c r="O12" s="400">
        <f t="shared" si="0"/>
        <v>2366</v>
      </c>
      <c r="P12" s="459"/>
      <c r="Q12" s="188"/>
      <c r="R12" s="189"/>
      <c r="S12" s="189"/>
      <c r="U12" s="244">
        <v>3</v>
      </c>
      <c r="V12" s="202">
        <v>3.5</v>
      </c>
      <c r="W12" s="259">
        <v>3.5</v>
      </c>
      <c r="X12" s="202"/>
      <c r="Y12" s="202"/>
      <c r="Z12" s="202"/>
      <c r="AA12" s="202"/>
      <c r="AB12" s="202"/>
    </row>
    <row r="13" spans="1:28" s="128" customFormat="1">
      <c r="A13" s="184">
        <v>7</v>
      </c>
      <c r="B13" s="394">
        <v>2024</v>
      </c>
      <c r="C13" s="191">
        <v>490</v>
      </c>
      <c r="D13" s="191">
        <v>355</v>
      </c>
      <c r="E13" s="191">
        <v>355</v>
      </c>
      <c r="F13" s="191">
        <v>200</v>
      </c>
      <c r="G13" s="191">
        <v>0</v>
      </c>
      <c r="H13" s="191">
        <v>0</v>
      </c>
      <c r="I13" s="191">
        <v>0</v>
      </c>
      <c r="J13" s="191">
        <v>0</v>
      </c>
      <c r="K13" s="191">
        <v>19</v>
      </c>
      <c r="L13" s="191">
        <v>145</v>
      </c>
      <c r="M13" s="191">
        <v>307</v>
      </c>
      <c r="N13" s="191">
        <v>360</v>
      </c>
      <c r="O13" s="400">
        <f t="shared" si="0"/>
        <v>2231</v>
      </c>
      <c r="P13" s="459"/>
      <c r="Q13" s="188"/>
      <c r="R13" s="189"/>
      <c r="S13" s="189"/>
      <c r="U13" s="244">
        <v>4</v>
      </c>
      <c r="V13" s="202">
        <v>4</v>
      </c>
      <c r="W13" s="259">
        <v>4</v>
      </c>
      <c r="X13" s="202"/>
      <c r="Y13" s="202"/>
      <c r="Z13" s="202"/>
      <c r="AA13" s="202"/>
      <c r="AB13" s="202"/>
    </row>
    <row r="14" spans="1:28" s="128" customFormat="1">
      <c r="A14" s="184">
        <v>8</v>
      </c>
      <c r="B14" s="395">
        <v>2025</v>
      </c>
      <c r="C14" s="191">
        <v>430</v>
      </c>
      <c r="D14" s="191">
        <v>420</v>
      </c>
      <c r="E14" s="191">
        <v>331</v>
      </c>
      <c r="F14" s="191">
        <v>106</v>
      </c>
      <c r="G14" s="191">
        <v>0</v>
      </c>
      <c r="H14" s="191">
        <v>0</v>
      </c>
      <c r="I14" s="191">
        <v>0</v>
      </c>
      <c r="J14" s="191">
        <v>0</v>
      </c>
      <c r="K14" s="191">
        <v>24</v>
      </c>
      <c r="L14" s="191">
        <v>145</v>
      </c>
      <c r="M14" s="191">
        <v>307</v>
      </c>
      <c r="N14" s="191">
        <v>360</v>
      </c>
      <c r="O14" s="401">
        <f t="shared" si="0"/>
        <v>2123</v>
      </c>
      <c r="P14" s="459"/>
      <c r="Q14" s="188"/>
      <c r="R14" s="189"/>
      <c r="S14" s="189"/>
      <c r="U14" s="207">
        <v>5</v>
      </c>
      <c r="V14" s="257">
        <v>4.5</v>
      </c>
      <c r="W14" s="260">
        <v>4.5</v>
      </c>
      <c r="Y14" s="202"/>
      <c r="Z14" s="202"/>
      <c r="AA14" s="202"/>
      <c r="AB14" s="202"/>
    </row>
    <row r="15" spans="1:28" s="128" customFormat="1">
      <c r="A15" s="184">
        <v>9</v>
      </c>
      <c r="B15" s="392" t="s">
        <v>137</v>
      </c>
      <c r="C15" s="318">
        <v>469</v>
      </c>
      <c r="D15" s="319">
        <v>427</v>
      </c>
      <c r="E15" s="319">
        <v>407</v>
      </c>
      <c r="F15" s="319">
        <v>231</v>
      </c>
      <c r="G15" s="319">
        <v>52</v>
      </c>
      <c r="H15" s="319"/>
      <c r="I15" s="319"/>
      <c r="J15" s="319"/>
      <c r="K15" s="319">
        <v>20</v>
      </c>
      <c r="L15" s="319">
        <v>191</v>
      </c>
      <c r="M15" s="319">
        <v>326</v>
      </c>
      <c r="N15" s="320">
        <v>429</v>
      </c>
      <c r="O15" s="461">
        <f>O7</f>
        <v>2552</v>
      </c>
      <c r="P15" s="215"/>
      <c r="Q15" s="181"/>
      <c r="U15" s="202"/>
      <c r="V15" s="202"/>
      <c r="W15" s="202"/>
    </row>
    <row r="16" spans="1:28" s="128" customFormat="1" ht="21" customHeight="1">
      <c r="A16" s="184"/>
      <c r="B16" s="254"/>
      <c r="C16" s="187" t="s">
        <v>145</v>
      </c>
      <c r="D16" s="187" t="s">
        <v>146</v>
      </c>
      <c r="E16" s="187" t="s">
        <v>147</v>
      </c>
      <c r="F16" s="187" t="s">
        <v>148</v>
      </c>
      <c r="G16" s="187" t="s">
        <v>149</v>
      </c>
      <c r="H16" s="187" t="s">
        <v>150</v>
      </c>
      <c r="I16" s="187" t="s">
        <v>140</v>
      </c>
      <c r="J16" s="187" t="s">
        <v>141</v>
      </c>
      <c r="K16" s="187" t="s">
        <v>142</v>
      </c>
      <c r="L16" s="187" t="s">
        <v>143</v>
      </c>
      <c r="M16" s="187" t="s">
        <v>132</v>
      </c>
      <c r="N16" s="187" t="s">
        <v>144</v>
      </c>
      <c r="O16" s="187" t="s">
        <v>153</v>
      </c>
      <c r="P16" s="187" t="s">
        <v>4</v>
      </c>
      <c r="Q16" s="181"/>
      <c r="U16" s="202"/>
      <c r="V16" s="202"/>
      <c r="W16" s="202"/>
      <c r="X16" s="202"/>
      <c r="Y16" s="202"/>
      <c r="Z16" s="202"/>
      <c r="AA16" s="202"/>
      <c r="AB16" s="202"/>
    </row>
    <row r="17" spans="1:28" s="128" customFormat="1" ht="18" customHeight="1">
      <c r="A17" s="184">
        <v>11</v>
      </c>
      <c r="B17" s="405" t="s">
        <v>152</v>
      </c>
      <c r="C17" s="318"/>
      <c r="D17" s="319"/>
      <c r="E17" s="319">
        <v>20</v>
      </c>
      <c r="F17" s="319">
        <v>191</v>
      </c>
      <c r="G17" s="319">
        <v>326</v>
      </c>
      <c r="H17" s="319">
        <v>429</v>
      </c>
      <c r="I17" s="319">
        <v>469</v>
      </c>
      <c r="J17" s="319">
        <v>427</v>
      </c>
      <c r="K17" s="319">
        <v>407</v>
      </c>
      <c r="L17" s="319">
        <v>231</v>
      </c>
      <c r="M17" s="319">
        <v>52</v>
      </c>
      <c r="N17" s="320"/>
      <c r="O17" s="460">
        <f>O7</f>
        <v>2552</v>
      </c>
      <c r="P17" s="216"/>
      <c r="Q17" s="181"/>
      <c r="U17" s="199"/>
      <c r="V17" s="210" t="s">
        <v>194</v>
      </c>
      <c r="W17" s="329">
        <v>2018</v>
      </c>
      <c r="X17" s="329">
        <v>2019</v>
      </c>
      <c r="Y17" s="329">
        <v>2020</v>
      </c>
      <c r="Z17" s="329">
        <v>2021</v>
      </c>
      <c r="AA17" s="329">
        <v>2022</v>
      </c>
      <c r="AB17" s="329">
        <v>2023</v>
      </c>
    </row>
    <row r="18" spans="1:28" s="128" customFormat="1">
      <c r="A18" s="184">
        <v>12</v>
      </c>
      <c r="B18" s="396" t="s">
        <v>183</v>
      </c>
      <c r="C18" s="330">
        <v>0</v>
      </c>
      <c r="D18" s="330">
        <v>0</v>
      </c>
      <c r="E18" s="330">
        <v>20</v>
      </c>
      <c r="F18" s="330">
        <v>137</v>
      </c>
      <c r="G18" s="330">
        <v>303</v>
      </c>
      <c r="H18" s="330">
        <v>368</v>
      </c>
      <c r="I18" s="330">
        <v>354</v>
      </c>
      <c r="J18" s="330">
        <v>347</v>
      </c>
      <c r="K18" s="330">
        <v>460</v>
      </c>
      <c r="L18" s="330">
        <v>302</v>
      </c>
      <c r="M18" s="330">
        <v>79</v>
      </c>
      <c r="N18" s="330">
        <v>0</v>
      </c>
      <c r="O18" s="402">
        <f>SUM(C18:N18)</f>
        <v>2370</v>
      </c>
      <c r="P18" s="459"/>
      <c r="Q18" s="181"/>
      <c r="U18" s="343">
        <v>1</v>
      </c>
      <c r="V18" s="344" t="s">
        <v>12</v>
      </c>
      <c r="W18" s="345">
        <f>IF(Indtastningsark!D50&gt;0,Indtastningsark!D50,IF(Indtastningsark!D57&gt;0,Indtastningsark!D57*(65-10)/860,Indtastningsark!D40*1))</f>
        <v>375</v>
      </c>
      <c r="X18" s="345">
        <f>IF(Indtastningsark!E50&gt;0,Indtastningsark!E50,IF(Indtastningsark!E57&gt;0,Indtastningsark!E57*(65-10)/860,Indtastningsark!E40*1))</f>
        <v>377</v>
      </c>
      <c r="Y18" s="345">
        <f>IF(Indtastningsark!F50&gt;0,Indtastningsark!F50,IF(Indtastningsark!F57&gt;0,Indtastningsark!F57*(65-10)/860,Indtastningsark!F40*1))</f>
        <v>379</v>
      </c>
      <c r="Z18" s="345">
        <f>IF(Indtastningsark!G50&gt;0,Indtastningsark!G50,IF(Indtastningsark!G57&gt;0,Indtastningsark!G57*(65-10)/860,Indtastningsark!G40*1))</f>
        <v>382</v>
      </c>
      <c r="AA18" s="345">
        <f>IF(Indtastningsark!H50&gt;0,Indtastningsark!H50,IF(Indtastningsark!H57&gt;0,Indtastningsark!H57*(65-10)/860,Indtastningsark!H40*1))</f>
        <v>379</v>
      </c>
      <c r="AB18" s="346">
        <f>IF(Indtastningsark!I50&gt;0,Indtastningsark!I50,IF(Indtastningsark!I57&gt;0,Indtastningsark!I57*(65-10)/860,Indtastningsark!I40*1))</f>
        <v>379</v>
      </c>
    </row>
    <row r="19" spans="1:28" s="128" customFormat="1">
      <c r="A19" s="184">
        <v>13</v>
      </c>
      <c r="B19" s="397" t="s">
        <v>184</v>
      </c>
      <c r="C19" s="330">
        <v>0</v>
      </c>
      <c r="D19" s="330">
        <v>0</v>
      </c>
      <c r="E19" s="330">
        <v>0</v>
      </c>
      <c r="F19" s="330">
        <v>147</v>
      </c>
      <c r="G19" s="330">
        <v>259</v>
      </c>
      <c r="H19" s="330">
        <v>378</v>
      </c>
      <c r="I19" s="330">
        <v>489</v>
      </c>
      <c r="J19" s="330">
        <v>456</v>
      </c>
      <c r="K19" s="330">
        <v>380</v>
      </c>
      <c r="L19" s="330">
        <v>282</v>
      </c>
      <c r="M19" s="330">
        <v>77</v>
      </c>
      <c r="N19" s="330">
        <v>0</v>
      </c>
      <c r="O19" s="403">
        <f t="shared" ref="O19:O23" si="1">SUM(C19:N19)</f>
        <v>2468</v>
      </c>
      <c r="P19" s="459"/>
      <c r="Q19" s="181"/>
      <c r="U19" s="211">
        <v>2</v>
      </c>
      <c r="V19" s="193" t="s">
        <v>157</v>
      </c>
      <c r="W19" s="212">
        <f>Indtastningsark!D40*1</f>
        <v>375</v>
      </c>
      <c r="X19" s="212">
        <f>Indtastningsark!E40*1</f>
        <v>377</v>
      </c>
      <c r="Y19" s="212">
        <f>Indtastningsark!F40*1</f>
        <v>379</v>
      </c>
      <c r="Z19" s="212">
        <f>Indtastningsark!G40*1</f>
        <v>382</v>
      </c>
      <c r="AA19" s="212">
        <f>Indtastningsark!H40*1</f>
        <v>379</v>
      </c>
      <c r="AB19" s="213">
        <f>Indtastningsark!I40*1</f>
        <v>379</v>
      </c>
    </row>
    <row r="20" spans="1:28" s="128" customFormat="1">
      <c r="A20" s="184">
        <v>14</v>
      </c>
      <c r="B20" s="397" t="s">
        <v>188</v>
      </c>
      <c r="C20" s="330">
        <v>0</v>
      </c>
      <c r="D20" s="330">
        <v>0</v>
      </c>
      <c r="E20" s="330">
        <v>0</v>
      </c>
      <c r="F20" s="330">
        <v>163</v>
      </c>
      <c r="G20" s="330">
        <v>291</v>
      </c>
      <c r="H20" s="330">
        <v>452</v>
      </c>
      <c r="I20" s="330">
        <v>401</v>
      </c>
      <c r="J20" s="330">
        <v>359</v>
      </c>
      <c r="K20" s="330">
        <v>382</v>
      </c>
      <c r="L20" s="330">
        <v>257</v>
      </c>
      <c r="M20" s="330">
        <v>0</v>
      </c>
      <c r="N20" s="330">
        <v>0</v>
      </c>
      <c r="O20" s="403">
        <f t="shared" si="1"/>
        <v>2305</v>
      </c>
      <c r="P20" s="459"/>
      <c r="Q20" s="181"/>
      <c r="U20" s="211">
        <v>3</v>
      </c>
      <c r="V20" s="193" t="s">
        <v>154</v>
      </c>
      <c r="W20" s="212">
        <f>0.25*'BASIS-regneark'!C20</f>
        <v>367.5</v>
      </c>
      <c r="X20" s="212">
        <f>0.25*'BASIS-regneark'!D20</f>
        <v>365</v>
      </c>
      <c r="Y20" s="212">
        <f>0.25*'BASIS-regneark'!E20</f>
        <v>356</v>
      </c>
      <c r="Z20" s="212">
        <f>0.25*'BASIS-regneark'!F20</f>
        <v>354.5</v>
      </c>
      <c r="AA20" s="212">
        <f>0.25*'BASIS-regneark'!G20</f>
        <v>362.5</v>
      </c>
      <c r="AB20" s="213">
        <f>0.25*'BASIS-regneark'!H20</f>
        <v>345</v>
      </c>
    </row>
    <row r="21" spans="1:28" s="128" customFormat="1">
      <c r="A21" s="184">
        <v>15</v>
      </c>
      <c r="B21" s="397" t="s">
        <v>190</v>
      </c>
      <c r="C21" s="330">
        <v>0</v>
      </c>
      <c r="D21" s="330">
        <v>0</v>
      </c>
      <c r="E21" s="330">
        <v>35</v>
      </c>
      <c r="F21" s="330">
        <v>25</v>
      </c>
      <c r="G21" s="330">
        <v>259</v>
      </c>
      <c r="H21" s="330">
        <v>460</v>
      </c>
      <c r="I21" s="330">
        <v>392</v>
      </c>
      <c r="J21" s="330">
        <v>370</v>
      </c>
      <c r="K21" s="330">
        <v>395</v>
      </c>
      <c r="L21" s="330">
        <v>235</v>
      </c>
      <c r="M21" s="330">
        <v>56</v>
      </c>
      <c r="N21" s="330">
        <v>0</v>
      </c>
      <c r="O21" s="403">
        <f t="shared" si="1"/>
        <v>2227</v>
      </c>
      <c r="P21" s="459"/>
      <c r="Q21" s="181"/>
      <c r="U21" s="211">
        <v>4</v>
      </c>
      <c r="V21" s="193" t="s">
        <v>177</v>
      </c>
      <c r="W21" s="212">
        <f>0.3*'BASIS-regneark'!C20</f>
        <v>441</v>
      </c>
      <c r="X21" s="212">
        <f>0.3*'BASIS-regneark'!D20</f>
        <v>438</v>
      </c>
      <c r="Y21" s="212">
        <f>0.3*'BASIS-regneark'!E20</f>
        <v>427.2</v>
      </c>
      <c r="Z21" s="212">
        <f>0.3*'BASIS-regneark'!F20</f>
        <v>425.4</v>
      </c>
      <c r="AA21" s="212">
        <f>0.3*'BASIS-regneark'!G20</f>
        <v>435</v>
      </c>
      <c r="AB21" s="213">
        <f>0.3*'BASIS-regneark'!H20</f>
        <v>414</v>
      </c>
    </row>
    <row r="22" spans="1:28" s="128" customFormat="1">
      <c r="A22" s="184">
        <v>16</v>
      </c>
      <c r="B22" s="397" t="s">
        <v>193</v>
      </c>
      <c r="C22" s="330">
        <v>0</v>
      </c>
      <c r="D22" s="330">
        <v>0</v>
      </c>
      <c r="E22" s="330">
        <v>0</v>
      </c>
      <c r="F22" s="330">
        <v>149</v>
      </c>
      <c r="G22" s="330">
        <v>356</v>
      </c>
      <c r="H22" s="330">
        <v>413</v>
      </c>
      <c r="I22" s="330">
        <v>490</v>
      </c>
      <c r="J22" s="330">
        <v>355</v>
      </c>
      <c r="K22" s="330">
        <v>355</v>
      </c>
      <c r="L22" s="330">
        <v>200</v>
      </c>
      <c r="M22" s="330">
        <v>0</v>
      </c>
      <c r="N22" s="330">
        <v>0</v>
      </c>
      <c r="O22" s="403">
        <f t="shared" si="1"/>
        <v>2318</v>
      </c>
      <c r="P22" s="459"/>
      <c r="Q22" s="181"/>
      <c r="U22" s="211">
        <v>5</v>
      </c>
      <c r="V22" s="193" t="s">
        <v>178</v>
      </c>
      <c r="W22" s="212">
        <f>0.4*'BASIS-regneark'!C20</f>
        <v>588</v>
      </c>
      <c r="X22" s="212">
        <f>0.4*'BASIS-regneark'!D20</f>
        <v>584</v>
      </c>
      <c r="Y22" s="212">
        <f>0.4*'BASIS-regneark'!E20</f>
        <v>569.6</v>
      </c>
      <c r="Z22" s="212">
        <f>0.4*'BASIS-regneark'!F20</f>
        <v>567.20000000000005</v>
      </c>
      <c r="AA22" s="212">
        <f>0.4*'BASIS-regneark'!G20</f>
        <v>580</v>
      </c>
      <c r="AB22" s="213">
        <f>0.4*'BASIS-regneark'!H20</f>
        <v>552</v>
      </c>
    </row>
    <row r="23" spans="1:28" s="128" customFormat="1">
      <c r="A23" s="184">
        <v>17</v>
      </c>
      <c r="B23" s="397" t="s">
        <v>195</v>
      </c>
      <c r="C23" s="330">
        <v>0</v>
      </c>
      <c r="D23" s="330">
        <v>0</v>
      </c>
      <c r="E23" s="330">
        <v>19</v>
      </c>
      <c r="F23" s="330">
        <v>145</v>
      </c>
      <c r="G23" s="330">
        <v>307</v>
      </c>
      <c r="H23" s="330">
        <v>360</v>
      </c>
      <c r="I23" s="330">
        <v>430</v>
      </c>
      <c r="J23" s="330">
        <v>420</v>
      </c>
      <c r="K23" s="330">
        <v>331</v>
      </c>
      <c r="L23" s="330">
        <v>106</v>
      </c>
      <c r="M23" s="330">
        <v>0</v>
      </c>
      <c r="N23" s="330">
        <v>0</v>
      </c>
      <c r="O23" s="403">
        <f t="shared" si="1"/>
        <v>2118</v>
      </c>
      <c r="P23" s="459"/>
      <c r="Q23" s="181"/>
      <c r="U23" s="211">
        <v>6</v>
      </c>
      <c r="V23" s="193" t="s">
        <v>10</v>
      </c>
      <c r="W23" s="212">
        <f>0.3*Indtastningsark!D56*(65-10)/860</f>
        <v>229.84883720930233</v>
      </c>
      <c r="X23" s="212">
        <f>0.3*Indtastningsark!E56*(65-10)/860</f>
        <v>219.48837209302326</v>
      </c>
      <c r="Y23" s="212">
        <f>0.3*Indtastningsark!F56*(65-10)/860</f>
        <v>231</v>
      </c>
      <c r="Z23" s="212">
        <f>0.3*Indtastningsark!G56*(65-10)/860</f>
        <v>230.61627906976744</v>
      </c>
      <c r="AA23" s="212">
        <f>0.3*Indtastningsark!H56*(65-10)/860</f>
        <v>222.55813953488371</v>
      </c>
      <c r="AB23" s="213">
        <f>0.3*Indtastningsark!I56*(65-10)/860</f>
        <v>225.43604651162789</v>
      </c>
    </row>
    <row r="24" spans="1:28" s="128" customFormat="1">
      <c r="A24" s="184">
        <v>18</v>
      </c>
      <c r="B24" s="398" t="s">
        <v>217</v>
      </c>
      <c r="C24" s="330">
        <v>0</v>
      </c>
      <c r="D24" s="330">
        <v>0</v>
      </c>
      <c r="E24" s="330">
        <v>24</v>
      </c>
      <c r="F24" s="330">
        <v>46</v>
      </c>
      <c r="G24" s="330"/>
      <c r="H24" s="330"/>
      <c r="I24" s="191"/>
      <c r="J24" s="330"/>
      <c r="K24" s="330"/>
      <c r="L24" s="330"/>
      <c r="M24" s="330"/>
      <c r="N24" s="330"/>
      <c r="O24" s="404"/>
      <c r="P24" s="459"/>
      <c r="Q24" s="181"/>
      <c r="U24" s="343">
        <v>7</v>
      </c>
      <c r="V24" s="344" t="s">
        <v>205</v>
      </c>
      <c r="W24" s="345">
        <f>Indtastningsark!D50</f>
        <v>0</v>
      </c>
      <c r="X24" s="345">
        <f>Indtastningsark!E50</f>
        <v>0</v>
      </c>
      <c r="Y24" s="345">
        <f>Indtastningsark!F50</f>
        <v>0</v>
      </c>
      <c r="Z24" s="345">
        <f>Indtastningsark!G50</f>
        <v>0</v>
      </c>
      <c r="AA24" s="345">
        <f>Indtastningsark!H50</f>
        <v>0</v>
      </c>
      <c r="AB24" s="346">
        <f>Indtastningsark!I50</f>
        <v>0</v>
      </c>
    </row>
    <row r="25" spans="1:28" s="128" customFormat="1">
      <c r="A25" s="184">
        <v>19</v>
      </c>
      <c r="B25" s="392" t="s">
        <v>137</v>
      </c>
      <c r="C25" s="318"/>
      <c r="D25" s="319"/>
      <c r="E25" s="319">
        <v>20</v>
      </c>
      <c r="F25" s="319">
        <v>191</v>
      </c>
      <c r="G25" s="319">
        <v>326</v>
      </c>
      <c r="H25" s="319">
        <v>429</v>
      </c>
      <c r="I25" s="319">
        <v>469</v>
      </c>
      <c r="J25" s="319">
        <v>427</v>
      </c>
      <c r="K25" s="319">
        <v>407</v>
      </c>
      <c r="L25" s="319">
        <v>231</v>
      </c>
      <c r="M25" s="319">
        <v>52</v>
      </c>
      <c r="N25" s="320"/>
      <c r="O25" s="461">
        <f>O7</f>
        <v>2552</v>
      </c>
      <c r="P25" s="215"/>
      <c r="Q25" s="181"/>
    </row>
    <row r="26" spans="1:28" s="128" customForma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1"/>
    </row>
    <row r="27" spans="1:28" s="128" customFormat="1">
      <c r="A27" s="176"/>
      <c r="C27" s="176"/>
      <c r="D27" s="176"/>
      <c r="E27" s="176"/>
      <c r="F27" s="233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/>
    </row>
    <row r="28" spans="1:28" s="128" customFormat="1" ht="15.6">
      <c r="B28" s="178" t="s">
        <v>170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8" s="128" customFormat="1">
      <c r="A29" s="176"/>
      <c r="B29" s="177" t="s">
        <v>2</v>
      </c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</row>
    <row r="30" spans="1:28" s="128" customFormat="1">
      <c r="A30"/>
      <c r="B30" s="177" t="s">
        <v>3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8" ht="15.6">
      <c r="B31" s="179" t="s">
        <v>5</v>
      </c>
    </row>
    <row r="102" spans="5:5">
      <c r="E102" s="190"/>
    </row>
    <row r="122" spans="2:2">
      <c r="B122" s="176"/>
    </row>
    <row r="123" spans="2:2">
      <c r="B123" s="191"/>
    </row>
    <row r="124" spans="2:2">
      <c r="B124" s="176"/>
    </row>
    <row r="125" spans="2:2">
      <c r="B125" s="176"/>
    </row>
    <row r="126" spans="2:2">
      <c r="B126" s="176"/>
    </row>
    <row r="127" spans="2:2">
      <c r="B127" s="176"/>
    </row>
    <row r="128" spans="2:2">
      <c r="B128" s="176"/>
    </row>
    <row r="129" spans="2:2">
      <c r="B129" s="176"/>
    </row>
    <row r="130" spans="2:2">
      <c r="B130" s="176"/>
    </row>
    <row r="131" spans="2:2">
      <c r="B131" s="191"/>
    </row>
    <row r="132" spans="2:2">
      <c r="B132" s="191"/>
    </row>
    <row r="133" spans="2:2">
      <c r="B133" s="176"/>
    </row>
    <row r="134" spans="2:2">
      <c r="B134" s="176"/>
    </row>
    <row r="135" spans="2:2">
      <c r="B135" s="176"/>
    </row>
    <row r="136" spans="2:2">
      <c r="B136" s="176"/>
    </row>
    <row r="137" spans="2:2">
      <c r="B137" s="176"/>
    </row>
    <row r="138" spans="2:2">
      <c r="B138" s="176"/>
    </row>
    <row r="139" spans="2:2">
      <c r="B139" s="176"/>
    </row>
    <row r="140" spans="2:2">
      <c r="B140" s="33"/>
    </row>
    <row r="141" spans="2:2">
      <c r="B141" s="33"/>
    </row>
    <row r="142" spans="2:2">
      <c r="B142" s="33"/>
    </row>
    <row r="143" spans="2:2">
      <c r="B143" s="33"/>
    </row>
  </sheetData>
  <sheetProtection sheet="1" objects="1" scenarios="1"/>
  <phoneticPr fontId="35" type="noConversion"/>
  <hyperlinks>
    <hyperlink ref="O1" location="'CO2-emissionstal'!E1" display="'CO2-emissionstal'!E1" xr:uid="{00000000-0004-0000-0600-000000000000}"/>
    <hyperlink ref="O4" r:id="rId1" xr:uid="{00000000-0004-0000-0600-000001000000}"/>
  </hyperlinks>
  <pageMargins left="0.74803149606299213" right="0.74803149606299213" top="0.98425196850393704" bottom="0.98425196850393704" header="0.51181102362204722" footer="0.51181102362204722"/>
  <pageSetup paperSize="9" scale="75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7"/>
  <dimension ref="A1:R28"/>
  <sheetViews>
    <sheetView topLeftCell="A2" workbookViewId="0">
      <selection activeCell="P18" sqref="P18"/>
    </sheetView>
  </sheetViews>
  <sheetFormatPr defaultRowHeight="13.2"/>
  <sheetData>
    <row r="1" spans="1:18" ht="24.6">
      <c r="A1" s="411" t="s">
        <v>232</v>
      </c>
      <c r="B1" s="412"/>
      <c r="C1" s="412"/>
      <c r="D1" s="413"/>
      <c r="E1" s="413"/>
    </row>
    <row r="2" spans="1:18" ht="22.8">
      <c r="A2" s="410"/>
      <c r="B2" s="120"/>
      <c r="C2" s="120"/>
    </row>
    <row r="4" spans="1:18" s="197" customFormat="1">
      <c r="B4" s="197">
        <v>1</v>
      </c>
      <c r="C4" s="197">
        <f t="shared" ref="C4:I4" si="0">B4+1</f>
        <v>2</v>
      </c>
      <c r="D4" s="197">
        <f t="shared" si="0"/>
        <v>3</v>
      </c>
      <c r="E4" s="197">
        <f t="shared" si="0"/>
        <v>4</v>
      </c>
      <c r="F4" s="197">
        <f t="shared" si="0"/>
        <v>5</v>
      </c>
      <c r="G4" s="197">
        <f t="shared" si="0"/>
        <v>6</v>
      </c>
      <c r="H4" s="197">
        <f t="shared" si="0"/>
        <v>7</v>
      </c>
      <c r="I4" s="197">
        <f t="shared" si="0"/>
        <v>8</v>
      </c>
      <c r="J4" s="197">
        <f t="shared" ref="J4" si="1">I4+1</f>
        <v>9</v>
      </c>
      <c r="K4" s="197">
        <f t="shared" ref="K4" si="2">J4+1</f>
        <v>10</v>
      </c>
      <c r="L4" s="197">
        <f t="shared" ref="L4" si="3">K4+1</f>
        <v>11</v>
      </c>
      <c r="M4" s="197">
        <f t="shared" ref="M4" si="4">L4+1</f>
        <v>12</v>
      </c>
      <c r="N4" s="197">
        <f t="shared" ref="N4" si="5">M4+1</f>
        <v>13</v>
      </c>
      <c r="O4" s="197">
        <f t="shared" ref="O4" si="6">N4+1</f>
        <v>14</v>
      </c>
      <c r="P4" s="197">
        <f t="shared" ref="P4" si="7">O4+1</f>
        <v>15</v>
      </c>
      <c r="Q4" s="197">
        <f t="shared" ref="Q4" si="8">P4+1</f>
        <v>16</v>
      </c>
      <c r="R4" s="197">
        <f t="shared" ref="R4" si="9">Q4+1</f>
        <v>17</v>
      </c>
    </row>
    <row r="5" spans="1:18" s="267" customFormat="1" ht="26.4">
      <c r="B5" s="266">
        <v>2018</v>
      </c>
      <c r="C5" s="266">
        <v>2019</v>
      </c>
      <c r="D5" s="266">
        <v>2020</v>
      </c>
      <c r="E5" s="266">
        <v>2021</v>
      </c>
      <c r="F5" s="266">
        <v>2022</v>
      </c>
      <c r="G5" s="266">
        <v>2023</v>
      </c>
      <c r="H5" s="266">
        <v>2024</v>
      </c>
      <c r="I5" s="322" t="s">
        <v>231</v>
      </c>
      <c r="J5" s="323"/>
      <c r="K5" s="322" t="s">
        <v>191</v>
      </c>
      <c r="L5" s="266" t="s">
        <v>180</v>
      </c>
      <c r="M5" s="266" t="s">
        <v>183</v>
      </c>
      <c r="N5" s="266" t="s">
        <v>184</v>
      </c>
      <c r="O5" s="266" t="s">
        <v>188</v>
      </c>
      <c r="P5" s="266" t="s">
        <v>190</v>
      </c>
      <c r="Q5" s="266" t="s">
        <v>193</v>
      </c>
      <c r="R5" s="322" t="s">
        <v>230</v>
      </c>
    </row>
    <row r="6" spans="1:18">
      <c r="A6" s="264" t="s">
        <v>185</v>
      </c>
      <c r="B6" s="261">
        <v>202</v>
      </c>
      <c r="C6" s="261">
        <v>149</v>
      </c>
      <c r="D6" s="261">
        <v>125</v>
      </c>
      <c r="E6" s="261">
        <v>136</v>
      </c>
      <c r="F6" s="261">
        <v>124</v>
      </c>
      <c r="G6" s="261">
        <v>96</v>
      </c>
      <c r="H6" s="261">
        <v>63</v>
      </c>
      <c r="I6" s="261">
        <v>55</v>
      </c>
      <c r="J6" s="324"/>
      <c r="K6" s="261">
        <f>AVERAGE(D6:G6)</f>
        <v>120.25</v>
      </c>
      <c r="L6" s="265">
        <f>AVERAGE(B6:C6)</f>
        <v>175.5</v>
      </c>
      <c r="M6" s="265">
        <f t="shared" ref="M6:Q6" si="10">AVERAGE(C6:D6)</f>
        <v>137</v>
      </c>
      <c r="N6" s="265">
        <f t="shared" si="10"/>
        <v>130.5</v>
      </c>
      <c r="O6" s="265">
        <f t="shared" si="10"/>
        <v>130</v>
      </c>
      <c r="P6" s="265">
        <f t="shared" si="10"/>
        <v>110</v>
      </c>
      <c r="Q6" s="265">
        <f t="shared" si="10"/>
        <v>79.5</v>
      </c>
      <c r="R6" s="265">
        <v>65</v>
      </c>
    </row>
    <row r="8" spans="1:18" s="197" customFormat="1" ht="14.4" customHeight="1"/>
    <row r="9" spans="1:18" s="197" customFormat="1"/>
    <row r="28" spans="1:1">
      <c r="A28" s="406" t="s">
        <v>233</v>
      </c>
    </row>
  </sheetData>
  <sheetProtection sheet="1" objects="1" scenarios="1"/>
  <phoneticPr fontId="76" type="noConversion"/>
  <hyperlinks>
    <hyperlink ref="A28" r:id="rId1" display="https://energinet.dk/media/mqkpzln2/miljoredegorelsen-2024.pdf" xr:uid="{31DB463D-42BB-42EB-BF2F-59AA64C68CA9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3AF3-FE99-495A-B6EA-CCFE40591FAC}">
  <dimension ref="A1:V105"/>
  <sheetViews>
    <sheetView workbookViewId="0">
      <selection activeCell="C7" sqref="C7"/>
    </sheetView>
  </sheetViews>
  <sheetFormatPr defaultRowHeight="13.2"/>
  <cols>
    <col min="1" max="1" width="9.109375" style="425" customWidth="1"/>
    <col min="2" max="2" width="8.88671875" style="425"/>
    <col min="3" max="3" width="34.6640625" style="425" customWidth="1"/>
    <col min="4" max="4" width="8.6640625" style="425" customWidth="1"/>
    <col min="5" max="5" width="8.6640625" style="441" customWidth="1"/>
    <col min="6" max="6" width="8.6640625" style="425" customWidth="1"/>
    <col min="7" max="9" width="8.6640625" style="442" customWidth="1"/>
    <col min="10" max="11" width="8.6640625" style="443" customWidth="1"/>
    <col min="12" max="12" width="7" style="427" customWidth="1"/>
    <col min="13" max="14" width="6.77734375" style="427" customWidth="1"/>
    <col min="15" max="15" width="9.5546875" style="427" bestFit="1" customWidth="1"/>
    <col min="16" max="17" width="9.5546875" style="425" bestFit="1" customWidth="1"/>
    <col min="18" max="19" width="8.88671875" style="425"/>
    <col min="20" max="21" width="9" style="425" customWidth="1"/>
    <col min="22" max="22" width="9.5546875" style="427" bestFit="1" customWidth="1"/>
    <col min="23" max="16384" width="8.88671875" style="425"/>
  </cols>
  <sheetData>
    <row r="1" spans="1:22" s="414" customFormat="1" ht="21" customHeight="1">
      <c r="A1" s="120" t="s">
        <v>234</v>
      </c>
      <c r="B1" s="120"/>
      <c r="E1" s="415"/>
      <c r="G1" s="416"/>
      <c r="H1" s="416"/>
      <c r="I1" s="416"/>
      <c r="J1" s="417"/>
      <c r="K1" s="417"/>
      <c r="L1" s="418"/>
      <c r="M1" s="418"/>
      <c r="N1" s="418"/>
      <c r="O1" s="418"/>
      <c r="V1" s="418"/>
    </row>
    <row r="2" spans="1:22" s="414" customFormat="1" ht="15" customHeight="1">
      <c r="A2" s="419" t="s">
        <v>235</v>
      </c>
      <c r="B2" s="419"/>
      <c r="C2" s="419"/>
      <c r="D2" s="419"/>
      <c r="E2" s="415"/>
      <c r="G2" s="420"/>
      <c r="H2" s="420"/>
      <c r="I2" s="420"/>
      <c r="J2" s="421"/>
      <c r="K2" s="421"/>
      <c r="L2" s="422"/>
      <c r="M2" s="418"/>
      <c r="N2" s="418"/>
      <c r="O2" s="418"/>
      <c r="V2" s="418"/>
    </row>
    <row r="3" spans="1:22" s="414" customFormat="1" ht="15" customHeight="1">
      <c r="A3" s="423" t="s">
        <v>236</v>
      </c>
      <c r="B3" s="423"/>
      <c r="C3" s="424"/>
      <c r="E3" s="415"/>
      <c r="G3" s="420"/>
      <c r="H3" s="420"/>
      <c r="I3" s="420"/>
      <c r="J3" s="421"/>
      <c r="K3" s="421"/>
      <c r="L3" s="422"/>
      <c r="M3" s="418"/>
      <c r="N3" s="418"/>
      <c r="O3" s="418"/>
      <c r="V3" s="418"/>
    </row>
    <row r="4" spans="1:22">
      <c r="A4" s="406" t="s">
        <v>237</v>
      </c>
      <c r="D4" s="426"/>
      <c r="E4" s="426">
        <v>1</v>
      </c>
      <c r="F4" s="426">
        <f t="shared" ref="F4:J4" si="0">E4+1</f>
        <v>2</v>
      </c>
      <c r="G4" s="426">
        <f t="shared" si="0"/>
        <v>3</v>
      </c>
      <c r="H4" s="426">
        <f t="shared" si="0"/>
        <v>4</v>
      </c>
      <c r="I4" s="426">
        <f t="shared" si="0"/>
        <v>5</v>
      </c>
      <c r="J4" s="426">
        <f t="shared" si="0"/>
        <v>6</v>
      </c>
      <c r="K4" s="426">
        <f t="shared" ref="K4" si="1">J4+1</f>
        <v>7</v>
      </c>
      <c r="L4" s="426">
        <f t="shared" ref="L4" si="2">K4+1</f>
        <v>8</v>
      </c>
      <c r="M4" s="426">
        <f t="shared" ref="M4" si="3">L4+1</f>
        <v>9</v>
      </c>
      <c r="N4" s="426">
        <f t="shared" ref="N4" si="4">M4+1</f>
        <v>10</v>
      </c>
      <c r="O4" s="426">
        <f t="shared" ref="O4" si="5">N4+1</f>
        <v>11</v>
      </c>
      <c r="P4" s="426">
        <f t="shared" ref="P4" si="6">O4+1</f>
        <v>12</v>
      </c>
      <c r="Q4" s="426">
        <f t="shared" ref="Q4" si="7">P4+1</f>
        <v>13</v>
      </c>
      <c r="R4" s="426">
        <f t="shared" ref="R4" si="8">Q4+1</f>
        <v>14</v>
      </c>
      <c r="S4" s="426">
        <f t="shared" ref="S4" si="9">R4+1</f>
        <v>15</v>
      </c>
      <c r="T4" s="426">
        <f t="shared" ref="T4" si="10">S4+1</f>
        <v>16</v>
      </c>
      <c r="U4" s="426">
        <f t="shared" ref="U4" si="11">T4+1</f>
        <v>17</v>
      </c>
      <c r="V4" s="426">
        <f t="shared" ref="V4" si="12">U4+1</f>
        <v>18</v>
      </c>
    </row>
    <row r="5" spans="1:22" ht="39.6">
      <c r="A5" s="425" t="s">
        <v>238</v>
      </c>
      <c r="C5" s="425" t="s">
        <v>239</v>
      </c>
      <c r="D5" s="427" t="s">
        <v>240</v>
      </c>
      <c r="E5" s="428">
        <v>2019</v>
      </c>
      <c r="F5" s="428">
        <v>2020</v>
      </c>
      <c r="G5" s="428">
        <v>2021</v>
      </c>
      <c r="H5" s="428">
        <v>2022</v>
      </c>
      <c r="I5" s="429">
        <v>2023</v>
      </c>
      <c r="J5" s="430">
        <v>2024</v>
      </c>
      <c r="K5" s="429">
        <v>2025</v>
      </c>
      <c r="L5" s="431" t="s">
        <v>241</v>
      </c>
      <c r="M5" s="432" t="s">
        <v>137</v>
      </c>
      <c r="N5" s="432"/>
      <c r="O5" s="433" t="s">
        <v>152</v>
      </c>
      <c r="P5" s="434" t="s">
        <v>183</v>
      </c>
      <c r="Q5" s="434" t="s">
        <v>184</v>
      </c>
      <c r="R5" s="434" t="s">
        <v>188</v>
      </c>
      <c r="S5" s="434" t="s">
        <v>190</v>
      </c>
      <c r="T5" s="435" t="s">
        <v>193</v>
      </c>
      <c r="U5" s="435" t="s">
        <v>195</v>
      </c>
      <c r="V5" s="432" t="s">
        <v>137</v>
      </c>
    </row>
    <row r="6" spans="1:22" ht="15.6">
      <c r="D6" s="436" t="s">
        <v>242</v>
      </c>
      <c r="E6" s="436"/>
      <c r="F6" s="437"/>
      <c r="G6" s="420"/>
      <c r="H6" s="420"/>
      <c r="I6" s="438"/>
      <c r="J6" s="421"/>
      <c r="K6" s="421"/>
      <c r="L6" s="422"/>
    </row>
    <row r="7" spans="1:22">
      <c r="B7" s="425">
        <v>1</v>
      </c>
      <c r="C7" s="425" t="s">
        <v>243</v>
      </c>
      <c r="D7" s="422">
        <f t="shared" ref="D7:D70" si="13">H7</f>
        <v>55.295999999999999</v>
      </c>
      <c r="E7" s="438">
        <v>85.968000000000004</v>
      </c>
      <c r="F7" s="438">
        <v>61.128</v>
      </c>
      <c r="G7" s="438">
        <v>52.235999999999997</v>
      </c>
      <c r="H7" s="438">
        <v>55.295999999999999</v>
      </c>
      <c r="I7" s="438">
        <v>48.636000000000003</v>
      </c>
      <c r="J7" s="421">
        <f t="shared" ref="J7:J70" si="14">I7</f>
        <v>48.636000000000003</v>
      </c>
      <c r="K7" s="421">
        <f>I7</f>
        <v>48.636000000000003</v>
      </c>
      <c r="L7" s="422">
        <f t="shared" ref="L7:L70" si="15">I7</f>
        <v>48.636000000000003</v>
      </c>
      <c r="M7" s="422">
        <f t="shared" ref="M7:M38" si="16">L7</f>
        <v>48.636000000000003</v>
      </c>
      <c r="N7" s="422"/>
      <c r="O7" s="422">
        <f t="shared" ref="O7:O38" si="17">L7</f>
        <v>48.636000000000003</v>
      </c>
      <c r="P7" s="439">
        <f t="shared" ref="P7:U7" si="18">AVERAGE(E7:F7)</f>
        <v>73.548000000000002</v>
      </c>
      <c r="Q7" s="439">
        <f t="shared" si="18"/>
        <v>56.682000000000002</v>
      </c>
      <c r="R7" s="439">
        <f t="shared" si="18"/>
        <v>53.765999999999998</v>
      </c>
      <c r="S7" s="439">
        <f t="shared" si="18"/>
        <v>51.966000000000001</v>
      </c>
      <c r="T7" s="439">
        <f t="shared" si="18"/>
        <v>48.636000000000003</v>
      </c>
      <c r="U7" s="439">
        <f t="shared" si="18"/>
        <v>48.636000000000003</v>
      </c>
      <c r="V7" s="422">
        <f t="shared" ref="V7:V70" si="19">M7</f>
        <v>48.636000000000003</v>
      </c>
    </row>
    <row r="8" spans="1:22">
      <c r="A8" s="425">
        <v>280</v>
      </c>
      <c r="B8" s="425">
        <v>2</v>
      </c>
      <c r="C8" s="425" t="s">
        <v>244</v>
      </c>
      <c r="D8" s="422">
        <f t="shared" si="13"/>
        <v>50.975999999999999</v>
      </c>
      <c r="E8" s="438">
        <v>75.528000000000006</v>
      </c>
      <c r="F8" s="438">
        <v>66.132000000000005</v>
      </c>
      <c r="G8" s="438">
        <v>56.268000000000001</v>
      </c>
      <c r="H8" s="438">
        <v>50.975999999999999</v>
      </c>
      <c r="I8" s="438">
        <v>59.832000000000008</v>
      </c>
      <c r="J8" s="421">
        <f t="shared" si="14"/>
        <v>59.832000000000008</v>
      </c>
      <c r="K8" s="421">
        <f t="shared" ref="K8:K71" si="20">I8</f>
        <v>59.832000000000008</v>
      </c>
      <c r="L8" s="422">
        <f t="shared" si="15"/>
        <v>59.832000000000008</v>
      </c>
      <c r="M8" s="422">
        <f t="shared" si="16"/>
        <v>59.832000000000008</v>
      </c>
      <c r="N8" s="422"/>
      <c r="O8" s="422">
        <f t="shared" si="17"/>
        <v>59.832000000000008</v>
      </c>
      <c r="P8" s="439">
        <f t="shared" ref="P8:P14" si="21">AVERAGE(E8:E8)</f>
        <v>75.528000000000006</v>
      </c>
      <c r="Q8" s="439">
        <f t="shared" ref="Q8:R14" si="22">AVERAGE(E8:F8)</f>
        <v>70.830000000000013</v>
      </c>
      <c r="R8" s="439">
        <f t="shared" si="22"/>
        <v>61.2</v>
      </c>
      <c r="S8" s="439">
        <f t="shared" ref="S8:S39" si="23">AVERAGE(G8:L8)</f>
        <v>57.762</v>
      </c>
      <c r="T8" s="439">
        <f t="shared" ref="T8:T71" si="24">O8</f>
        <v>59.832000000000008</v>
      </c>
      <c r="U8" s="439">
        <f t="shared" ref="U8:U71" si="25">AVERAGE(J8:K8)</f>
        <v>59.832000000000008</v>
      </c>
      <c r="V8" s="422">
        <f t="shared" si="19"/>
        <v>59.832000000000008</v>
      </c>
    </row>
    <row r="9" spans="1:22">
      <c r="A9" s="425">
        <v>219</v>
      </c>
      <c r="B9" s="425">
        <v>3</v>
      </c>
      <c r="C9" s="425" t="s">
        <v>245</v>
      </c>
      <c r="D9" s="422">
        <f t="shared" si="13"/>
        <v>22.968</v>
      </c>
      <c r="E9" s="438">
        <v>18.756</v>
      </c>
      <c r="F9" s="438">
        <v>24.984000000000002</v>
      </c>
      <c r="G9" s="438">
        <v>29.016000000000002</v>
      </c>
      <c r="H9" s="438">
        <v>22.968</v>
      </c>
      <c r="I9" s="438">
        <v>21.096</v>
      </c>
      <c r="J9" s="421">
        <f t="shared" si="14"/>
        <v>21.096</v>
      </c>
      <c r="K9" s="421">
        <f t="shared" si="20"/>
        <v>21.096</v>
      </c>
      <c r="L9" s="422">
        <f t="shared" si="15"/>
        <v>21.096</v>
      </c>
      <c r="M9" s="422">
        <f t="shared" si="16"/>
        <v>21.096</v>
      </c>
      <c r="N9" s="422"/>
      <c r="O9" s="422">
        <f t="shared" si="17"/>
        <v>21.096</v>
      </c>
      <c r="P9" s="439">
        <f t="shared" si="21"/>
        <v>18.756</v>
      </c>
      <c r="Q9" s="439">
        <f t="shared" si="22"/>
        <v>21.87</v>
      </c>
      <c r="R9" s="439">
        <f t="shared" si="22"/>
        <v>27</v>
      </c>
      <c r="S9" s="439">
        <f t="shared" si="23"/>
        <v>22.727999999999998</v>
      </c>
      <c r="T9" s="439">
        <f t="shared" si="24"/>
        <v>21.096</v>
      </c>
      <c r="U9" s="439">
        <f t="shared" si="25"/>
        <v>21.096</v>
      </c>
      <c r="V9" s="422">
        <f t="shared" si="19"/>
        <v>21.096</v>
      </c>
    </row>
    <row r="10" spans="1:22">
      <c r="A10" s="425">
        <v>292</v>
      </c>
      <c r="B10" s="425">
        <v>4</v>
      </c>
      <c r="C10" s="425" t="s">
        <v>246</v>
      </c>
      <c r="D10" s="422">
        <f t="shared" si="13"/>
        <v>54.504000000000005</v>
      </c>
      <c r="E10" s="438">
        <v>86.436000000000007</v>
      </c>
      <c r="F10" s="438">
        <v>60.552</v>
      </c>
      <c r="G10" s="438">
        <v>52.524000000000001</v>
      </c>
      <c r="H10" s="438">
        <v>54.504000000000005</v>
      </c>
      <c r="I10" s="438">
        <v>47.448</v>
      </c>
      <c r="J10" s="421">
        <f t="shared" si="14"/>
        <v>47.448</v>
      </c>
      <c r="K10" s="421">
        <f t="shared" si="20"/>
        <v>47.448</v>
      </c>
      <c r="L10" s="422">
        <f t="shared" si="15"/>
        <v>47.448</v>
      </c>
      <c r="M10" s="422">
        <f t="shared" si="16"/>
        <v>47.448</v>
      </c>
      <c r="N10" s="422"/>
      <c r="O10" s="422">
        <f t="shared" si="17"/>
        <v>47.448</v>
      </c>
      <c r="P10" s="439">
        <f t="shared" si="21"/>
        <v>86.436000000000007</v>
      </c>
      <c r="Q10" s="439">
        <f t="shared" si="22"/>
        <v>73.494</v>
      </c>
      <c r="R10" s="439">
        <f t="shared" si="22"/>
        <v>56.537999999999997</v>
      </c>
      <c r="S10" s="439">
        <f t="shared" si="23"/>
        <v>49.47</v>
      </c>
      <c r="T10" s="439">
        <f t="shared" si="24"/>
        <v>47.448</v>
      </c>
      <c r="U10" s="439">
        <f t="shared" si="25"/>
        <v>47.448</v>
      </c>
      <c r="V10" s="422">
        <f t="shared" si="19"/>
        <v>47.448</v>
      </c>
    </row>
    <row r="11" spans="1:22">
      <c r="A11" s="425">
        <v>243</v>
      </c>
      <c r="B11" s="425">
        <v>5</v>
      </c>
      <c r="C11" s="425" t="s">
        <v>247</v>
      </c>
      <c r="D11" s="422">
        <f t="shared" si="13"/>
        <v>19.008000000000003</v>
      </c>
      <c r="E11" s="438">
        <v>36.216000000000001</v>
      </c>
      <c r="F11" s="438">
        <v>25.056000000000001</v>
      </c>
      <c r="G11" s="438">
        <v>32.543999999999997</v>
      </c>
      <c r="H11" s="438">
        <v>19.008000000000003</v>
      </c>
      <c r="I11" s="438">
        <v>21.024000000000001</v>
      </c>
      <c r="J11" s="421">
        <f t="shared" si="14"/>
        <v>21.024000000000001</v>
      </c>
      <c r="K11" s="421">
        <f t="shared" si="20"/>
        <v>21.024000000000001</v>
      </c>
      <c r="L11" s="422">
        <f t="shared" si="15"/>
        <v>21.024000000000001</v>
      </c>
      <c r="M11" s="422">
        <f t="shared" si="16"/>
        <v>21.024000000000001</v>
      </c>
      <c r="N11" s="422"/>
      <c r="O11" s="422">
        <f t="shared" si="17"/>
        <v>21.024000000000001</v>
      </c>
      <c r="P11" s="439">
        <f t="shared" si="21"/>
        <v>36.216000000000001</v>
      </c>
      <c r="Q11" s="439">
        <f t="shared" si="22"/>
        <v>30.636000000000003</v>
      </c>
      <c r="R11" s="439">
        <f t="shared" si="22"/>
        <v>28.799999999999997</v>
      </c>
      <c r="S11" s="439">
        <f t="shared" si="23"/>
        <v>22.608000000000001</v>
      </c>
      <c r="T11" s="439">
        <f t="shared" si="24"/>
        <v>21.024000000000001</v>
      </c>
      <c r="U11" s="439">
        <f t="shared" si="25"/>
        <v>21.024000000000001</v>
      </c>
      <c r="V11" s="422">
        <f t="shared" si="19"/>
        <v>21.024000000000001</v>
      </c>
    </row>
    <row r="12" spans="1:22">
      <c r="A12" s="425">
        <v>139</v>
      </c>
      <c r="B12" s="425">
        <v>6</v>
      </c>
      <c r="C12" s="425" t="s">
        <v>248</v>
      </c>
      <c r="D12" s="422">
        <f t="shared" si="13"/>
        <v>52.956000000000003</v>
      </c>
      <c r="E12" s="438">
        <v>46.26</v>
      </c>
      <c r="F12" s="438">
        <v>49.392000000000003</v>
      </c>
      <c r="G12" s="438">
        <v>45.864000000000004</v>
      </c>
      <c r="H12" s="438">
        <v>52.956000000000003</v>
      </c>
      <c r="I12" s="438">
        <v>47.7</v>
      </c>
      <c r="J12" s="421">
        <f t="shared" si="14"/>
        <v>47.7</v>
      </c>
      <c r="K12" s="421">
        <f t="shared" si="20"/>
        <v>47.7</v>
      </c>
      <c r="L12" s="422">
        <f t="shared" si="15"/>
        <v>47.7</v>
      </c>
      <c r="M12" s="422">
        <f t="shared" si="16"/>
        <v>47.7</v>
      </c>
      <c r="N12" s="422"/>
      <c r="O12" s="422">
        <f t="shared" si="17"/>
        <v>47.7</v>
      </c>
      <c r="P12" s="439">
        <f t="shared" si="21"/>
        <v>46.26</v>
      </c>
      <c r="Q12" s="439">
        <f t="shared" si="22"/>
        <v>47.826000000000001</v>
      </c>
      <c r="R12" s="439">
        <f t="shared" si="22"/>
        <v>47.628</v>
      </c>
      <c r="S12" s="439">
        <f t="shared" si="23"/>
        <v>48.27</v>
      </c>
      <c r="T12" s="439">
        <f t="shared" si="24"/>
        <v>47.7</v>
      </c>
      <c r="U12" s="439">
        <f t="shared" si="25"/>
        <v>47.7</v>
      </c>
      <c r="V12" s="422">
        <f t="shared" si="19"/>
        <v>47.7</v>
      </c>
    </row>
    <row r="13" spans="1:22">
      <c r="A13" s="425">
        <v>272</v>
      </c>
      <c r="B13" s="425">
        <v>7</v>
      </c>
      <c r="C13" s="425" t="s">
        <v>249</v>
      </c>
      <c r="D13" s="422">
        <f t="shared" si="13"/>
        <v>53.856000000000002</v>
      </c>
      <c r="E13" s="438">
        <v>83.736000000000004</v>
      </c>
      <c r="F13" s="438">
        <v>59.543999999999997</v>
      </c>
      <c r="G13" s="438">
        <v>50.904000000000003</v>
      </c>
      <c r="H13" s="438">
        <v>53.856000000000002</v>
      </c>
      <c r="I13" s="438">
        <v>47.376000000000005</v>
      </c>
      <c r="J13" s="421">
        <f t="shared" si="14"/>
        <v>47.376000000000005</v>
      </c>
      <c r="K13" s="421">
        <f t="shared" si="20"/>
        <v>47.376000000000005</v>
      </c>
      <c r="L13" s="422">
        <f t="shared" si="15"/>
        <v>47.376000000000005</v>
      </c>
      <c r="M13" s="422">
        <f t="shared" si="16"/>
        <v>47.376000000000005</v>
      </c>
      <c r="N13" s="422"/>
      <c r="O13" s="422">
        <f t="shared" si="17"/>
        <v>47.376000000000005</v>
      </c>
      <c r="P13" s="439">
        <f t="shared" si="21"/>
        <v>83.736000000000004</v>
      </c>
      <c r="Q13" s="439">
        <f t="shared" si="22"/>
        <v>71.64</v>
      </c>
      <c r="R13" s="439">
        <f t="shared" si="22"/>
        <v>55.224000000000004</v>
      </c>
      <c r="S13" s="439">
        <f t="shared" si="23"/>
        <v>49.044000000000004</v>
      </c>
      <c r="T13" s="439">
        <f t="shared" si="24"/>
        <v>47.376000000000005</v>
      </c>
      <c r="U13" s="439">
        <f t="shared" si="25"/>
        <v>47.376000000000005</v>
      </c>
      <c r="V13" s="422">
        <f t="shared" si="19"/>
        <v>47.376000000000005</v>
      </c>
    </row>
    <row r="14" spans="1:22">
      <c r="A14" s="425">
        <v>166</v>
      </c>
      <c r="B14" s="425">
        <v>8</v>
      </c>
      <c r="C14" s="425" t="s">
        <v>250</v>
      </c>
      <c r="D14" s="422">
        <f t="shared" si="13"/>
        <v>27.215999999999998</v>
      </c>
      <c r="E14" s="438">
        <v>58.463999999999999</v>
      </c>
      <c r="F14" s="438">
        <v>54.431999999999995</v>
      </c>
      <c r="G14" s="438">
        <v>50.724000000000004</v>
      </c>
      <c r="H14" s="438">
        <v>27.215999999999998</v>
      </c>
      <c r="I14" s="438">
        <v>17.100000000000001</v>
      </c>
      <c r="J14" s="421">
        <f t="shared" si="14"/>
        <v>17.100000000000001</v>
      </c>
      <c r="K14" s="421">
        <f t="shared" si="20"/>
        <v>17.100000000000001</v>
      </c>
      <c r="L14" s="422">
        <f t="shared" si="15"/>
        <v>17.100000000000001</v>
      </c>
      <c r="M14" s="422">
        <f t="shared" si="16"/>
        <v>17.100000000000001</v>
      </c>
      <c r="N14" s="422"/>
      <c r="O14" s="422">
        <f t="shared" si="17"/>
        <v>17.100000000000001</v>
      </c>
      <c r="P14" s="439">
        <f t="shared" si="21"/>
        <v>58.463999999999999</v>
      </c>
      <c r="Q14" s="439">
        <f t="shared" si="22"/>
        <v>56.447999999999993</v>
      </c>
      <c r="R14" s="439">
        <f t="shared" si="22"/>
        <v>52.578000000000003</v>
      </c>
      <c r="S14" s="439">
        <f t="shared" si="23"/>
        <v>24.389999999999997</v>
      </c>
      <c r="T14" s="439">
        <f t="shared" si="24"/>
        <v>17.100000000000001</v>
      </c>
      <c r="U14" s="439">
        <f t="shared" si="25"/>
        <v>17.100000000000001</v>
      </c>
      <c r="V14" s="422">
        <f t="shared" si="19"/>
        <v>17.100000000000001</v>
      </c>
    </row>
    <row r="15" spans="1:22">
      <c r="A15" s="425">
        <v>209</v>
      </c>
      <c r="B15" s="425">
        <v>9</v>
      </c>
      <c r="C15" s="425" t="s">
        <v>251</v>
      </c>
      <c r="D15" s="422">
        <f t="shared" si="13"/>
        <v>0</v>
      </c>
      <c r="E15" s="438"/>
      <c r="F15" s="438"/>
      <c r="G15" s="438"/>
      <c r="H15" s="438"/>
      <c r="I15" s="438"/>
      <c r="J15" s="421">
        <f t="shared" si="14"/>
        <v>0</v>
      </c>
      <c r="K15" s="421">
        <f t="shared" si="20"/>
        <v>0</v>
      </c>
      <c r="L15" s="422">
        <f t="shared" si="15"/>
        <v>0</v>
      </c>
      <c r="M15" s="422">
        <f t="shared" si="16"/>
        <v>0</v>
      </c>
      <c r="N15" s="422"/>
      <c r="O15" s="422">
        <f t="shared" si="17"/>
        <v>0</v>
      </c>
      <c r="P15" s="439"/>
      <c r="Q15" s="439"/>
      <c r="R15" s="439"/>
      <c r="S15" s="439">
        <f t="shared" si="23"/>
        <v>0</v>
      </c>
      <c r="T15" s="439">
        <f t="shared" si="24"/>
        <v>0</v>
      </c>
      <c r="U15" s="439">
        <f t="shared" si="25"/>
        <v>0</v>
      </c>
      <c r="V15" s="422">
        <f t="shared" si="19"/>
        <v>0</v>
      </c>
    </row>
    <row r="16" spans="1:22">
      <c r="A16" s="425">
        <v>71</v>
      </c>
      <c r="B16" s="425">
        <v>10</v>
      </c>
      <c r="C16" s="425" t="s">
        <v>252</v>
      </c>
      <c r="D16" s="422">
        <f t="shared" si="13"/>
        <v>102.78</v>
      </c>
      <c r="E16" s="438">
        <v>193.14</v>
      </c>
      <c r="F16" s="438">
        <v>175.06800000000001</v>
      </c>
      <c r="G16" s="438">
        <v>131.83199999999999</v>
      </c>
      <c r="H16" s="438">
        <v>102.78</v>
      </c>
      <c r="I16" s="438">
        <v>60.515999999999998</v>
      </c>
      <c r="J16" s="421">
        <f t="shared" si="14"/>
        <v>60.515999999999998</v>
      </c>
      <c r="K16" s="421">
        <f t="shared" si="20"/>
        <v>60.515999999999998</v>
      </c>
      <c r="L16" s="422">
        <f t="shared" si="15"/>
        <v>60.515999999999998</v>
      </c>
      <c r="M16" s="422">
        <f t="shared" si="16"/>
        <v>60.515999999999998</v>
      </c>
      <c r="N16" s="422"/>
      <c r="O16" s="422">
        <f t="shared" si="17"/>
        <v>60.515999999999998</v>
      </c>
      <c r="P16" s="439">
        <f t="shared" ref="P16:P47" si="26">AVERAGE(E16:E16)</f>
        <v>193.14</v>
      </c>
      <c r="Q16" s="439">
        <f t="shared" ref="Q16:Q47" si="27">AVERAGE(E16:F16)</f>
        <v>184.10399999999998</v>
      </c>
      <c r="R16" s="439">
        <f t="shared" ref="R16:R47" si="28">AVERAGE(F16:G16)</f>
        <v>153.44999999999999</v>
      </c>
      <c r="S16" s="439">
        <f t="shared" si="23"/>
        <v>79.446000000000012</v>
      </c>
      <c r="T16" s="439">
        <f t="shared" si="24"/>
        <v>60.515999999999998</v>
      </c>
      <c r="U16" s="439">
        <f t="shared" si="25"/>
        <v>60.515999999999998</v>
      </c>
      <c r="V16" s="422">
        <f t="shared" si="19"/>
        <v>60.515999999999998</v>
      </c>
    </row>
    <row r="17" spans="1:22">
      <c r="A17" s="425">
        <v>375</v>
      </c>
      <c r="B17" s="425">
        <v>11</v>
      </c>
      <c r="C17" s="425" t="s">
        <v>253</v>
      </c>
      <c r="D17" s="422">
        <f t="shared" si="13"/>
        <v>149.65200000000002</v>
      </c>
      <c r="E17" s="438">
        <v>166.32000000000002</v>
      </c>
      <c r="F17" s="438">
        <v>156.096</v>
      </c>
      <c r="G17" s="438">
        <v>162.97200000000001</v>
      </c>
      <c r="H17" s="438">
        <v>149.65200000000002</v>
      </c>
      <c r="I17" s="438">
        <v>134.82000000000002</v>
      </c>
      <c r="J17" s="421">
        <f t="shared" si="14"/>
        <v>134.82000000000002</v>
      </c>
      <c r="K17" s="421">
        <f t="shared" si="20"/>
        <v>134.82000000000002</v>
      </c>
      <c r="L17" s="422">
        <f t="shared" si="15"/>
        <v>134.82000000000002</v>
      </c>
      <c r="M17" s="422">
        <f t="shared" si="16"/>
        <v>134.82000000000002</v>
      </c>
      <c r="N17" s="422"/>
      <c r="O17" s="422">
        <f t="shared" si="17"/>
        <v>134.82000000000002</v>
      </c>
      <c r="P17" s="439">
        <f t="shared" si="26"/>
        <v>166.32000000000002</v>
      </c>
      <c r="Q17" s="439">
        <f t="shared" si="27"/>
        <v>161.20800000000003</v>
      </c>
      <c r="R17" s="439">
        <f t="shared" si="28"/>
        <v>159.53399999999999</v>
      </c>
      <c r="S17" s="439">
        <f t="shared" si="23"/>
        <v>141.98400000000004</v>
      </c>
      <c r="T17" s="439">
        <f t="shared" si="24"/>
        <v>134.82000000000002</v>
      </c>
      <c r="U17" s="439">
        <f t="shared" si="25"/>
        <v>134.82000000000002</v>
      </c>
      <c r="V17" s="422">
        <f t="shared" si="19"/>
        <v>134.82000000000002</v>
      </c>
    </row>
    <row r="18" spans="1:22">
      <c r="A18" s="425">
        <v>281</v>
      </c>
      <c r="B18" s="425">
        <v>12</v>
      </c>
      <c r="C18" s="425" t="s">
        <v>254</v>
      </c>
      <c r="D18" s="422">
        <f t="shared" si="13"/>
        <v>65.52</v>
      </c>
      <c r="E18" s="438">
        <v>98.063999999999993</v>
      </c>
      <c r="F18" s="438">
        <v>50.652000000000001</v>
      </c>
      <c r="G18" s="438">
        <v>78.623999999999995</v>
      </c>
      <c r="H18" s="438">
        <v>65.52</v>
      </c>
      <c r="I18" s="438">
        <v>22.32</v>
      </c>
      <c r="J18" s="421">
        <f t="shared" si="14"/>
        <v>22.32</v>
      </c>
      <c r="K18" s="421">
        <f t="shared" si="20"/>
        <v>22.32</v>
      </c>
      <c r="L18" s="422">
        <f t="shared" si="15"/>
        <v>22.32</v>
      </c>
      <c r="M18" s="422">
        <f t="shared" si="16"/>
        <v>22.32</v>
      </c>
      <c r="N18" s="422"/>
      <c r="O18" s="422">
        <f t="shared" si="17"/>
        <v>22.32</v>
      </c>
      <c r="P18" s="439">
        <f t="shared" si="26"/>
        <v>98.063999999999993</v>
      </c>
      <c r="Q18" s="439">
        <f t="shared" si="27"/>
        <v>74.358000000000004</v>
      </c>
      <c r="R18" s="439">
        <f t="shared" si="28"/>
        <v>64.638000000000005</v>
      </c>
      <c r="S18" s="439">
        <f t="shared" si="23"/>
        <v>38.903999999999996</v>
      </c>
      <c r="T18" s="439">
        <f t="shared" si="24"/>
        <v>22.32</v>
      </c>
      <c r="U18" s="439">
        <f t="shared" si="25"/>
        <v>22.32</v>
      </c>
      <c r="V18" s="422">
        <f t="shared" si="19"/>
        <v>22.32</v>
      </c>
    </row>
    <row r="19" spans="1:22">
      <c r="A19" s="425">
        <v>96</v>
      </c>
      <c r="B19" s="425">
        <v>13</v>
      </c>
      <c r="C19" s="425" t="s">
        <v>255</v>
      </c>
      <c r="D19" s="422">
        <f t="shared" si="13"/>
        <v>158.04</v>
      </c>
      <c r="E19" s="438">
        <v>176.86800000000002</v>
      </c>
      <c r="F19" s="438">
        <v>156.96</v>
      </c>
      <c r="G19" s="438">
        <v>169.02</v>
      </c>
      <c r="H19" s="438">
        <v>158.04</v>
      </c>
      <c r="I19" s="438">
        <v>149.79599999999999</v>
      </c>
      <c r="J19" s="421">
        <f t="shared" si="14"/>
        <v>149.79599999999999</v>
      </c>
      <c r="K19" s="421">
        <f t="shared" si="20"/>
        <v>149.79599999999999</v>
      </c>
      <c r="L19" s="422">
        <f t="shared" si="15"/>
        <v>149.79599999999999</v>
      </c>
      <c r="M19" s="422">
        <f t="shared" si="16"/>
        <v>149.79599999999999</v>
      </c>
      <c r="N19" s="422"/>
      <c r="O19" s="422">
        <f t="shared" si="17"/>
        <v>149.79599999999999</v>
      </c>
      <c r="P19" s="439">
        <f t="shared" si="26"/>
        <v>176.86800000000002</v>
      </c>
      <c r="Q19" s="439">
        <f t="shared" si="27"/>
        <v>166.91400000000002</v>
      </c>
      <c r="R19" s="439">
        <f t="shared" si="28"/>
        <v>162.99</v>
      </c>
      <c r="S19" s="439">
        <f t="shared" si="23"/>
        <v>154.37400000000002</v>
      </c>
      <c r="T19" s="439">
        <f t="shared" si="24"/>
        <v>149.79599999999999</v>
      </c>
      <c r="U19" s="439">
        <f t="shared" si="25"/>
        <v>149.79599999999999</v>
      </c>
      <c r="V19" s="422">
        <f t="shared" si="19"/>
        <v>149.79599999999999</v>
      </c>
    </row>
    <row r="20" spans="1:22">
      <c r="A20" s="425">
        <v>159</v>
      </c>
      <c r="B20" s="425">
        <v>14</v>
      </c>
      <c r="C20" s="425" t="s">
        <v>256</v>
      </c>
      <c r="D20" s="422">
        <f t="shared" si="13"/>
        <v>48.311999999999998</v>
      </c>
      <c r="E20" s="438">
        <v>58.104000000000006</v>
      </c>
      <c r="F20" s="438">
        <v>59.328000000000003</v>
      </c>
      <c r="G20" s="438">
        <v>64.44</v>
      </c>
      <c r="H20" s="438">
        <v>48.311999999999998</v>
      </c>
      <c r="I20" s="438">
        <v>54.36</v>
      </c>
      <c r="J20" s="421">
        <f t="shared" si="14"/>
        <v>54.36</v>
      </c>
      <c r="K20" s="421">
        <f t="shared" si="20"/>
        <v>54.36</v>
      </c>
      <c r="L20" s="422">
        <f t="shared" si="15"/>
        <v>54.36</v>
      </c>
      <c r="M20" s="422">
        <f t="shared" si="16"/>
        <v>54.36</v>
      </c>
      <c r="N20" s="422"/>
      <c r="O20" s="422">
        <f t="shared" si="17"/>
        <v>54.36</v>
      </c>
      <c r="P20" s="439">
        <f t="shared" si="26"/>
        <v>58.104000000000006</v>
      </c>
      <c r="Q20" s="439">
        <f t="shared" si="27"/>
        <v>58.716000000000008</v>
      </c>
      <c r="R20" s="439">
        <f t="shared" si="28"/>
        <v>61.884</v>
      </c>
      <c r="S20" s="439">
        <f t="shared" si="23"/>
        <v>55.032000000000004</v>
      </c>
      <c r="T20" s="439">
        <f t="shared" si="24"/>
        <v>54.36</v>
      </c>
      <c r="U20" s="439">
        <f t="shared" si="25"/>
        <v>54.36</v>
      </c>
      <c r="V20" s="422">
        <f t="shared" si="19"/>
        <v>54.36</v>
      </c>
    </row>
    <row r="21" spans="1:22">
      <c r="A21" s="425">
        <v>227</v>
      </c>
      <c r="B21" s="425">
        <v>15</v>
      </c>
      <c r="C21" s="425" t="s">
        <v>257</v>
      </c>
      <c r="D21" s="422">
        <f t="shared" si="13"/>
        <v>17.028000000000002</v>
      </c>
      <c r="E21" s="438">
        <v>23.652000000000001</v>
      </c>
      <c r="F21" s="438">
        <v>15.876000000000001</v>
      </c>
      <c r="G21" s="438">
        <v>25.2</v>
      </c>
      <c r="H21" s="438">
        <v>17.028000000000002</v>
      </c>
      <c r="I21" s="438">
        <v>16.596</v>
      </c>
      <c r="J21" s="421">
        <f t="shared" si="14"/>
        <v>16.596</v>
      </c>
      <c r="K21" s="421">
        <f t="shared" si="20"/>
        <v>16.596</v>
      </c>
      <c r="L21" s="422">
        <f t="shared" si="15"/>
        <v>16.596</v>
      </c>
      <c r="M21" s="422">
        <f t="shared" si="16"/>
        <v>16.596</v>
      </c>
      <c r="N21" s="422"/>
      <c r="O21" s="422">
        <f t="shared" si="17"/>
        <v>16.596</v>
      </c>
      <c r="P21" s="439">
        <f t="shared" si="26"/>
        <v>23.652000000000001</v>
      </c>
      <c r="Q21" s="439">
        <f t="shared" si="27"/>
        <v>19.764000000000003</v>
      </c>
      <c r="R21" s="439">
        <f t="shared" si="28"/>
        <v>20.538</v>
      </c>
      <c r="S21" s="439">
        <f t="shared" si="23"/>
        <v>18.102</v>
      </c>
      <c r="T21" s="439">
        <f t="shared" si="24"/>
        <v>16.596</v>
      </c>
      <c r="U21" s="439">
        <f t="shared" si="25"/>
        <v>16.596</v>
      </c>
      <c r="V21" s="422">
        <f t="shared" si="19"/>
        <v>16.596</v>
      </c>
    </row>
    <row r="22" spans="1:22">
      <c r="A22" s="425">
        <v>415</v>
      </c>
      <c r="B22" s="425">
        <v>16</v>
      </c>
      <c r="C22" s="425" t="s">
        <v>258</v>
      </c>
      <c r="D22" s="422">
        <f t="shared" si="13"/>
        <v>47.052</v>
      </c>
      <c r="E22" s="438">
        <v>55.980000000000004</v>
      </c>
      <c r="F22" s="438">
        <v>54.792000000000002</v>
      </c>
      <c r="G22" s="438">
        <v>51.048000000000002</v>
      </c>
      <c r="H22" s="438">
        <v>47.052</v>
      </c>
      <c r="I22" s="438">
        <v>58.32</v>
      </c>
      <c r="J22" s="421">
        <f t="shared" si="14"/>
        <v>58.32</v>
      </c>
      <c r="K22" s="421">
        <f t="shared" si="20"/>
        <v>58.32</v>
      </c>
      <c r="L22" s="422">
        <f t="shared" si="15"/>
        <v>58.32</v>
      </c>
      <c r="M22" s="422">
        <f t="shared" si="16"/>
        <v>58.32</v>
      </c>
      <c r="N22" s="422"/>
      <c r="O22" s="422">
        <f t="shared" si="17"/>
        <v>58.32</v>
      </c>
      <c r="P22" s="439">
        <f t="shared" si="26"/>
        <v>55.980000000000004</v>
      </c>
      <c r="Q22" s="439">
        <f t="shared" si="27"/>
        <v>55.386000000000003</v>
      </c>
      <c r="R22" s="439">
        <f t="shared" si="28"/>
        <v>52.92</v>
      </c>
      <c r="S22" s="439">
        <f t="shared" si="23"/>
        <v>55.23</v>
      </c>
      <c r="T22" s="439">
        <f t="shared" si="24"/>
        <v>58.32</v>
      </c>
      <c r="U22" s="439">
        <f t="shared" si="25"/>
        <v>58.32</v>
      </c>
      <c r="V22" s="422">
        <f t="shared" si="19"/>
        <v>58.32</v>
      </c>
    </row>
    <row r="23" spans="1:22">
      <c r="A23" s="425">
        <v>447</v>
      </c>
      <c r="B23" s="425">
        <v>17</v>
      </c>
      <c r="C23" s="425" t="s">
        <v>259</v>
      </c>
      <c r="D23" s="422">
        <f t="shared" si="13"/>
        <v>35.568000000000005</v>
      </c>
      <c r="E23" s="438">
        <v>38.592000000000006</v>
      </c>
      <c r="F23" s="438">
        <v>41.256000000000007</v>
      </c>
      <c r="G23" s="438">
        <v>42.12</v>
      </c>
      <c r="H23" s="438">
        <v>35.568000000000005</v>
      </c>
      <c r="I23" s="438">
        <v>36.180000000000007</v>
      </c>
      <c r="J23" s="421">
        <f t="shared" si="14"/>
        <v>36.180000000000007</v>
      </c>
      <c r="K23" s="421">
        <f t="shared" si="20"/>
        <v>36.180000000000007</v>
      </c>
      <c r="L23" s="422">
        <f t="shared" si="15"/>
        <v>36.180000000000007</v>
      </c>
      <c r="M23" s="422">
        <f t="shared" si="16"/>
        <v>36.180000000000007</v>
      </c>
      <c r="N23" s="422"/>
      <c r="O23" s="422">
        <f t="shared" si="17"/>
        <v>36.180000000000007</v>
      </c>
      <c r="P23" s="439">
        <f t="shared" si="26"/>
        <v>38.592000000000006</v>
      </c>
      <c r="Q23" s="439">
        <f t="shared" si="27"/>
        <v>39.924000000000007</v>
      </c>
      <c r="R23" s="439">
        <f t="shared" si="28"/>
        <v>41.688000000000002</v>
      </c>
      <c r="S23" s="439">
        <f t="shared" si="23"/>
        <v>37.068000000000005</v>
      </c>
      <c r="T23" s="439">
        <f t="shared" si="24"/>
        <v>36.180000000000007</v>
      </c>
      <c r="U23" s="439">
        <f t="shared" si="25"/>
        <v>36.180000000000007</v>
      </c>
      <c r="V23" s="422">
        <f t="shared" si="19"/>
        <v>36.180000000000007</v>
      </c>
    </row>
    <row r="24" spans="1:22">
      <c r="A24" s="425">
        <v>256</v>
      </c>
      <c r="B24" s="425">
        <v>18</v>
      </c>
      <c r="C24" s="425" t="s">
        <v>260</v>
      </c>
      <c r="D24" s="422">
        <f t="shared" si="13"/>
        <v>45.576000000000001</v>
      </c>
      <c r="E24" s="438">
        <v>70.884</v>
      </c>
      <c r="F24" s="438">
        <v>50.328000000000003</v>
      </c>
      <c r="G24" s="438">
        <v>42.804000000000002</v>
      </c>
      <c r="H24" s="438">
        <v>45.576000000000001</v>
      </c>
      <c r="I24" s="438">
        <v>40.104000000000006</v>
      </c>
      <c r="J24" s="421">
        <f t="shared" si="14"/>
        <v>40.104000000000006</v>
      </c>
      <c r="K24" s="421">
        <f t="shared" si="20"/>
        <v>40.104000000000006</v>
      </c>
      <c r="L24" s="422">
        <f t="shared" si="15"/>
        <v>40.104000000000006</v>
      </c>
      <c r="M24" s="422">
        <f t="shared" si="16"/>
        <v>40.104000000000006</v>
      </c>
      <c r="N24" s="422"/>
      <c r="O24" s="422">
        <f t="shared" si="17"/>
        <v>40.104000000000006</v>
      </c>
      <c r="P24" s="439">
        <f t="shared" si="26"/>
        <v>70.884</v>
      </c>
      <c r="Q24" s="439">
        <f t="shared" si="27"/>
        <v>60.606000000000002</v>
      </c>
      <c r="R24" s="439">
        <f t="shared" si="28"/>
        <v>46.566000000000003</v>
      </c>
      <c r="S24" s="439">
        <f t="shared" si="23"/>
        <v>41.466000000000008</v>
      </c>
      <c r="T24" s="439">
        <f t="shared" si="24"/>
        <v>40.104000000000006</v>
      </c>
      <c r="U24" s="439">
        <f t="shared" si="25"/>
        <v>40.104000000000006</v>
      </c>
      <c r="V24" s="422">
        <f t="shared" si="19"/>
        <v>40.104000000000006</v>
      </c>
    </row>
    <row r="25" spans="1:22">
      <c r="A25" s="425">
        <v>258</v>
      </c>
      <c r="B25" s="425">
        <v>19</v>
      </c>
      <c r="C25" s="425" t="s">
        <v>261</v>
      </c>
      <c r="D25" s="422">
        <f t="shared" si="13"/>
        <v>109.69199999999999</v>
      </c>
      <c r="E25" s="438">
        <v>158.4</v>
      </c>
      <c r="F25" s="438">
        <v>152.71200000000002</v>
      </c>
      <c r="G25" s="438">
        <v>127.29600000000001</v>
      </c>
      <c r="H25" s="438">
        <v>109.69199999999999</v>
      </c>
      <c r="I25" s="438">
        <v>94.68</v>
      </c>
      <c r="J25" s="421">
        <f t="shared" si="14"/>
        <v>94.68</v>
      </c>
      <c r="K25" s="421">
        <f t="shared" si="20"/>
        <v>94.68</v>
      </c>
      <c r="L25" s="422">
        <f t="shared" si="15"/>
        <v>94.68</v>
      </c>
      <c r="M25" s="422">
        <f t="shared" si="16"/>
        <v>94.68</v>
      </c>
      <c r="N25" s="422"/>
      <c r="O25" s="422">
        <f t="shared" si="17"/>
        <v>94.68</v>
      </c>
      <c r="P25" s="439">
        <f t="shared" si="26"/>
        <v>158.4</v>
      </c>
      <c r="Q25" s="439">
        <f t="shared" si="27"/>
        <v>155.55600000000001</v>
      </c>
      <c r="R25" s="439">
        <f t="shared" si="28"/>
        <v>140.00400000000002</v>
      </c>
      <c r="S25" s="439">
        <f t="shared" si="23"/>
        <v>102.61800000000001</v>
      </c>
      <c r="T25" s="439">
        <f t="shared" si="24"/>
        <v>94.68</v>
      </c>
      <c r="U25" s="439">
        <f t="shared" si="25"/>
        <v>94.68</v>
      </c>
      <c r="V25" s="422">
        <f t="shared" si="19"/>
        <v>94.68</v>
      </c>
    </row>
    <row r="26" spans="1:22">
      <c r="A26" s="425">
        <v>119</v>
      </c>
      <c r="B26" s="425">
        <v>20</v>
      </c>
      <c r="C26" s="425" t="s">
        <v>262</v>
      </c>
      <c r="D26" s="422">
        <f t="shared" si="13"/>
        <v>115.66800000000001</v>
      </c>
      <c r="E26" s="438">
        <v>124.092</v>
      </c>
      <c r="F26" s="438">
        <v>182.52</v>
      </c>
      <c r="G26" s="438">
        <v>150.15600000000001</v>
      </c>
      <c r="H26" s="438">
        <v>115.66800000000001</v>
      </c>
      <c r="I26" s="438">
        <v>98.676000000000002</v>
      </c>
      <c r="J26" s="421">
        <f t="shared" si="14"/>
        <v>98.676000000000002</v>
      </c>
      <c r="K26" s="421">
        <f t="shared" si="20"/>
        <v>98.676000000000002</v>
      </c>
      <c r="L26" s="422">
        <f t="shared" si="15"/>
        <v>98.676000000000002</v>
      </c>
      <c r="M26" s="422">
        <f t="shared" si="16"/>
        <v>98.676000000000002</v>
      </c>
      <c r="N26" s="422"/>
      <c r="O26" s="422">
        <f t="shared" si="17"/>
        <v>98.676000000000002</v>
      </c>
      <c r="P26" s="439">
        <f t="shared" si="26"/>
        <v>124.092</v>
      </c>
      <c r="Q26" s="439">
        <f t="shared" si="27"/>
        <v>153.30600000000001</v>
      </c>
      <c r="R26" s="439">
        <f t="shared" si="28"/>
        <v>166.33800000000002</v>
      </c>
      <c r="S26" s="439">
        <f t="shared" si="23"/>
        <v>110.08800000000001</v>
      </c>
      <c r="T26" s="439">
        <f t="shared" si="24"/>
        <v>98.676000000000002</v>
      </c>
      <c r="U26" s="439">
        <f t="shared" si="25"/>
        <v>98.676000000000002</v>
      </c>
      <c r="V26" s="422">
        <f t="shared" si="19"/>
        <v>98.676000000000002</v>
      </c>
    </row>
    <row r="27" spans="1:22">
      <c r="A27" s="425">
        <v>297</v>
      </c>
      <c r="B27" s="425">
        <v>21</v>
      </c>
      <c r="C27" s="425" t="s">
        <v>263</v>
      </c>
      <c r="D27" s="422">
        <f t="shared" si="13"/>
        <v>83.7</v>
      </c>
      <c r="E27" s="438">
        <v>106.34399999999999</v>
      </c>
      <c r="F27" s="438">
        <v>103.464</v>
      </c>
      <c r="G27" s="438">
        <v>101.08799999999999</v>
      </c>
      <c r="H27" s="438">
        <v>83.7</v>
      </c>
      <c r="I27" s="438">
        <v>82.08</v>
      </c>
      <c r="J27" s="421">
        <f t="shared" si="14"/>
        <v>82.08</v>
      </c>
      <c r="K27" s="421">
        <f t="shared" si="20"/>
        <v>82.08</v>
      </c>
      <c r="L27" s="422">
        <f t="shared" si="15"/>
        <v>82.08</v>
      </c>
      <c r="M27" s="422">
        <f t="shared" si="16"/>
        <v>82.08</v>
      </c>
      <c r="N27" s="422"/>
      <c r="O27" s="422">
        <f t="shared" si="17"/>
        <v>82.08</v>
      </c>
      <c r="P27" s="439">
        <f t="shared" si="26"/>
        <v>106.34399999999999</v>
      </c>
      <c r="Q27" s="439">
        <f t="shared" si="27"/>
        <v>104.904</v>
      </c>
      <c r="R27" s="439">
        <f t="shared" si="28"/>
        <v>102.276</v>
      </c>
      <c r="S27" s="439">
        <f t="shared" si="23"/>
        <v>85.517999999999986</v>
      </c>
      <c r="T27" s="439">
        <f t="shared" si="24"/>
        <v>82.08</v>
      </c>
      <c r="U27" s="439">
        <f t="shared" si="25"/>
        <v>82.08</v>
      </c>
      <c r="V27" s="422">
        <f t="shared" si="19"/>
        <v>82.08</v>
      </c>
    </row>
    <row r="28" spans="1:22">
      <c r="A28" s="425">
        <v>231</v>
      </c>
      <c r="B28" s="425">
        <v>22</v>
      </c>
      <c r="C28" s="425" t="s">
        <v>264</v>
      </c>
      <c r="D28" s="422">
        <f t="shared" si="13"/>
        <v>53.892000000000003</v>
      </c>
      <c r="E28" s="438">
        <v>83.736000000000004</v>
      </c>
      <c r="F28" s="438">
        <v>59.543999999999997</v>
      </c>
      <c r="G28" s="438">
        <v>50.904000000000003</v>
      </c>
      <c r="H28" s="438">
        <v>53.892000000000003</v>
      </c>
      <c r="I28" s="438">
        <v>47.376000000000005</v>
      </c>
      <c r="J28" s="421">
        <f t="shared" si="14"/>
        <v>47.376000000000005</v>
      </c>
      <c r="K28" s="421">
        <f t="shared" si="20"/>
        <v>47.376000000000005</v>
      </c>
      <c r="L28" s="422">
        <f t="shared" si="15"/>
        <v>47.376000000000005</v>
      </c>
      <c r="M28" s="422">
        <f t="shared" si="16"/>
        <v>47.376000000000005</v>
      </c>
      <c r="N28" s="422"/>
      <c r="O28" s="422">
        <f t="shared" si="17"/>
        <v>47.376000000000005</v>
      </c>
      <c r="P28" s="439">
        <f t="shared" si="26"/>
        <v>83.736000000000004</v>
      </c>
      <c r="Q28" s="439">
        <f t="shared" si="27"/>
        <v>71.64</v>
      </c>
      <c r="R28" s="439">
        <f t="shared" si="28"/>
        <v>55.224000000000004</v>
      </c>
      <c r="S28" s="439">
        <f t="shared" si="23"/>
        <v>49.050000000000011</v>
      </c>
      <c r="T28" s="439">
        <f t="shared" si="24"/>
        <v>47.376000000000005</v>
      </c>
      <c r="U28" s="439">
        <f t="shared" si="25"/>
        <v>47.376000000000005</v>
      </c>
      <c r="V28" s="422">
        <f t="shared" si="19"/>
        <v>47.376000000000005</v>
      </c>
    </row>
    <row r="29" spans="1:22">
      <c r="A29" s="425">
        <v>321</v>
      </c>
      <c r="B29" s="425">
        <v>23</v>
      </c>
      <c r="C29" s="425" t="s">
        <v>265</v>
      </c>
      <c r="D29" s="422">
        <f t="shared" si="13"/>
        <v>45.107999999999997</v>
      </c>
      <c r="E29" s="438">
        <v>70.091999999999999</v>
      </c>
      <c r="F29" s="438">
        <v>49.788000000000004</v>
      </c>
      <c r="G29" s="438">
        <v>42.948</v>
      </c>
      <c r="H29" s="438">
        <v>45.107999999999997</v>
      </c>
      <c r="I29" s="438">
        <v>39.6</v>
      </c>
      <c r="J29" s="421">
        <f t="shared" si="14"/>
        <v>39.6</v>
      </c>
      <c r="K29" s="421">
        <f t="shared" si="20"/>
        <v>39.6</v>
      </c>
      <c r="L29" s="422">
        <f t="shared" si="15"/>
        <v>39.6</v>
      </c>
      <c r="M29" s="422">
        <f t="shared" si="16"/>
        <v>39.6</v>
      </c>
      <c r="N29" s="422"/>
      <c r="O29" s="422">
        <f t="shared" si="17"/>
        <v>39.6</v>
      </c>
      <c r="P29" s="439">
        <f t="shared" si="26"/>
        <v>70.091999999999999</v>
      </c>
      <c r="Q29" s="439">
        <f t="shared" si="27"/>
        <v>59.94</v>
      </c>
      <c r="R29" s="439">
        <f t="shared" si="28"/>
        <v>46.368000000000002</v>
      </c>
      <c r="S29" s="439">
        <f t="shared" si="23"/>
        <v>41.076000000000001</v>
      </c>
      <c r="T29" s="439">
        <f t="shared" si="24"/>
        <v>39.6</v>
      </c>
      <c r="U29" s="439">
        <f t="shared" si="25"/>
        <v>39.6</v>
      </c>
      <c r="V29" s="422">
        <f t="shared" si="19"/>
        <v>39.6</v>
      </c>
    </row>
    <row r="30" spans="1:22">
      <c r="A30" s="425">
        <v>888</v>
      </c>
      <c r="B30" s="425">
        <v>24</v>
      </c>
      <c r="C30" s="425" t="s">
        <v>266</v>
      </c>
      <c r="D30" s="422">
        <f t="shared" si="13"/>
        <v>46.728000000000002</v>
      </c>
      <c r="E30" s="438">
        <v>73.260000000000005</v>
      </c>
      <c r="F30" s="438">
        <v>53.1</v>
      </c>
      <c r="G30" s="438">
        <v>44.64</v>
      </c>
      <c r="H30" s="438">
        <v>46.728000000000002</v>
      </c>
      <c r="I30" s="438">
        <v>41.004000000000005</v>
      </c>
      <c r="J30" s="421">
        <f t="shared" si="14"/>
        <v>41.004000000000005</v>
      </c>
      <c r="K30" s="421">
        <f t="shared" si="20"/>
        <v>41.004000000000005</v>
      </c>
      <c r="L30" s="422">
        <f t="shared" si="15"/>
        <v>41.004000000000005</v>
      </c>
      <c r="M30" s="422">
        <f t="shared" si="16"/>
        <v>41.004000000000005</v>
      </c>
      <c r="N30" s="422"/>
      <c r="O30" s="422">
        <f t="shared" si="17"/>
        <v>41.004000000000005</v>
      </c>
      <c r="P30" s="439">
        <f t="shared" si="26"/>
        <v>73.260000000000005</v>
      </c>
      <c r="Q30" s="439">
        <f t="shared" si="27"/>
        <v>63.180000000000007</v>
      </c>
      <c r="R30" s="439">
        <f t="shared" si="28"/>
        <v>48.870000000000005</v>
      </c>
      <c r="S30" s="439">
        <f t="shared" si="23"/>
        <v>42.564000000000014</v>
      </c>
      <c r="T30" s="439">
        <f t="shared" si="24"/>
        <v>41.004000000000005</v>
      </c>
      <c r="U30" s="439">
        <f t="shared" si="25"/>
        <v>41.004000000000005</v>
      </c>
      <c r="V30" s="422">
        <f t="shared" si="19"/>
        <v>41.004000000000005</v>
      </c>
    </row>
    <row r="31" spans="1:22">
      <c r="A31" s="425">
        <v>424</v>
      </c>
      <c r="B31" s="425">
        <v>25</v>
      </c>
      <c r="C31" s="425" t="s">
        <v>267</v>
      </c>
      <c r="D31" s="422">
        <f t="shared" si="13"/>
        <v>47.592000000000006</v>
      </c>
      <c r="E31" s="438">
        <v>74.123999999999995</v>
      </c>
      <c r="F31" s="438">
        <v>52.668000000000006</v>
      </c>
      <c r="G31" s="438">
        <v>45.612000000000002</v>
      </c>
      <c r="H31" s="438">
        <v>47.592000000000006</v>
      </c>
      <c r="I31" s="438">
        <v>41.472000000000001</v>
      </c>
      <c r="J31" s="421">
        <f t="shared" si="14"/>
        <v>41.472000000000001</v>
      </c>
      <c r="K31" s="421">
        <f t="shared" si="20"/>
        <v>41.472000000000001</v>
      </c>
      <c r="L31" s="422">
        <f t="shared" si="15"/>
        <v>41.472000000000001</v>
      </c>
      <c r="M31" s="422">
        <f t="shared" si="16"/>
        <v>41.472000000000001</v>
      </c>
      <c r="N31" s="422"/>
      <c r="O31" s="422">
        <f t="shared" si="17"/>
        <v>41.472000000000001</v>
      </c>
      <c r="P31" s="439">
        <f t="shared" si="26"/>
        <v>74.123999999999995</v>
      </c>
      <c r="Q31" s="439">
        <f t="shared" si="27"/>
        <v>63.396000000000001</v>
      </c>
      <c r="R31" s="439">
        <f t="shared" si="28"/>
        <v>49.14</v>
      </c>
      <c r="S31" s="439">
        <f t="shared" si="23"/>
        <v>43.182000000000009</v>
      </c>
      <c r="T31" s="439">
        <f t="shared" si="24"/>
        <v>41.472000000000001</v>
      </c>
      <c r="U31" s="439">
        <f t="shared" si="25"/>
        <v>41.472000000000001</v>
      </c>
      <c r="V31" s="422">
        <f t="shared" si="19"/>
        <v>41.472000000000001</v>
      </c>
    </row>
    <row r="32" spans="1:22">
      <c r="A32" s="425">
        <v>72</v>
      </c>
      <c r="B32" s="425">
        <v>26</v>
      </c>
      <c r="C32" s="425" t="s">
        <v>268</v>
      </c>
      <c r="D32" s="422">
        <f t="shared" si="13"/>
        <v>74.34</v>
      </c>
      <c r="E32" s="438">
        <v>88.343999999999994</v>
      </c>
      <c r="F32" s="438">
        <v>84.744</v>
      </c>
      <c r="G32" s="438">
        <v>86.76</v>
      </c>
      <c r="H32" s="438">
        <v>74.34</v>
      </c>
      <c r="I32" s="438">
        <v>85.103999999999999</v>
      </c>
      <c r="J32" s="421">
        <f t="shared" si="14"/>
        <v>85.103999999999999</v>
      </c>
      <c r="K32" s="421">
        <f t="shared" si="20"/>
        <v>85.103999999999999</v>
      </c>
      <c r="L32" s="422">
        <f t="shared" si="15"/>
        <v>85.103999999999999</v>
      </c>
      <c r="M32" s="422">
        <f t="shared" si="16"/>
        <v>85.103999999999999</v>
      </c>
      <c r="N32" s="422"/>
      <c r="O32" s="422">
        <f t="shared" si="17"/>
        <v>85.103999999999999</v>
      </c>
      <c r="P32" s="439">
        <f t="shared" si="26"/>
        <v>88.343999999999994</v>
      </c>
      <c r="Q32" s="439">
        <f t="shared" si="27"/>
        <v>86.543999999999997</v>
      </c>
      <c r="R32" s="439">
        <f t="shared" si="28"/>
        <v>85.75200000000001</v>
      </c>
      <c r="S32" s="439">
        <f t="shared" si="23"/>
        <v>83.585999999999999</v>
      </c>
      <c r="T32" s="439">
        <f t="shared" si="24"/>
        <v>85.103999999999999</v>
      </c>
      <c r="U32" s="439">
        <f t="shared" si="25"/>
        <v>85.103999999999999</v>
      </c>
      <c r="V32" s="422">
        <f t="shared" si="19"/>
        <v>85.103999999999999</v>
      </c>
    </row>
    <row r="33" spans="1:22">
      <c r="A33" s="425">
        <v>173</v>
      </c>
      <c r="B33" s="425">
        <v>27</v>
      </c>
      <c r="C33" s="425" t="s">
        <v>269</v>
      </c>
      <c r="D33" s="422">
        <f t="shared" si="13"/>
        <v>62.747999999999998</v>
      </c>
      <c r="E33" s="438">
        <v>62.82</v>
      </c>
      <c r="F33" s="438">
        <v>61.956000000000003</v>
      </c>
      <c r="G33" s="438">
        <v>64.512000000000015</v>
      </c>
      <c r="H33" s="438">
        <v>62.747999999999998</v>
      </c>
      <c r="I33" s="438">
        <v>50.688000000000002</v>
      </c>
      <c r="J33" s="421">
        <f t="shared" si="14"/>
        <v>50.688000000000002</v>
      </c>
      <c r="K33" s="421">
        <f t="shared" si="20"/>
        <v>50.688000000000002</v>
      </c>
      <c r="L33" s="422">
        <f t="shared" si="15"/>
        <v>50.688000000000002</v>
      </c>
      <c r="M33" s="422">
        <f t="shared" si="16"/>
        <v>50.688000000000002</v>
      </c>
      <c r="N33" s="422"/>
      <c r="O33" s="422">
        <f t="shared" si="17"/>
        <v>50.688000000000002</v>
      </c>
      <c r="P33" s="439">
        <f t="shared" si="26"/>
        <v>62.82</v>
      </c>
      <c r="Q33" s="439">
        <f t="shared" si="27"/>
        <v>62.388000000000005</v>
      </c>
      <c r="R33" s="439">
        <f t="shared" si="28"/>
        <v>63.234000000000009</v>
      </c>
      <c r="S33" s="439">
        <f t="shared" si="23"/>
        <v>55.002000000000002</v>
      </c>
      <c r="T33" s="439">
        <f t="shared" si="24"/>
        <v>50.688000000000002</v>
      </c>
      <c r="U33" s="439">
        <f t="shared" si="25"/>
        <v>50.688000000000002</v>
      </c>
      <c r="V33" s="422">
        <f t="shared" si="19"/>
        <v>50.688000000000002</v>
      </c>
    </row>
    <row r="34" spans="1:22">
      <c r="A34" s="425">
        <v>23</v>
      </c>
      <c r="B34" s="425">
        <v>28</v>
      </c>
      <c r="C34" s="425" t="s">
        <v>270</v>
      </c>
      <c r="D34" s="422">
        <f t="shared" si="13"/>
        <v>16.164000000000001</v>
      </c>
      <c r="E34" s="438">
        <v>42.66</v>
      </c>
      <c r="F34" s="438">
        <v>19.404</v>
      </c>
      <c r="G34" s="438">
        <v>19.98</v>
      </c>
      <c r="H34" s="438">
        <v>16.164000000000001</v>
      </c>
      <c r="I34" s="438">
        <v>6.3719999999999999</v>
      </c>
      <c r="J34" s="421">
        <f t="shared" si="14"/>
        <v>6.3719999999999999</v>
      </c>
      <c r="K34" s="421">
        <f t="shared" si="20"/>
        <v>6.3719999999999999</v>
      </c>
      <c r="L34" s="422">
        <f t="shared" si="15"/>
        <v>6.3719999999999999</v>
      </c>
      <c r="M34" s="422">
        <f t="shared" si="16"/>
        <v>6.3719999999999999</v>
      </c>
      <c r="N34" s="422"/>
      <c r="O34" s="422">
        <f t="shared" si="17"/>
        <v>6.3719999999999999</v>
      </c>
      <c r="P34" s="439">
        <f t="shared" si="26"/>
        <v>42.66</v>
      </c>
      <c r="Q34" s="439">
        <f t="shared" si="27"/>
        <v>31.031999999999996</v>
      </c>
      <c r="R34" s="439">
        <f t="shared" si="28"/>
        <v>19.692</v>
      </c>
      <c r="S34" s="439">
        <f t="shared" si="23"/>
        <v>10.272</v>
      </c>
      <c r="T34" s="439">
        <f t="shared" si="24"/>
        <v>6.3719999999999999</v>
      </c>
      <c r="U34" s="439">
        <f t="shared" si="25"/>
        <v>6.3719999999999999</v>
      </c>
      <c r="V34" s="422">
        <f t="shared" si="19"/>
        <v>6.3719999999999999</v>
      </c>
    </row>
    <row r="35" spans="1:22">
      <c r="A35" s="425">
        <v>123</v>
      </c>
      <c r="B35" s="425">
        <v>29</v>
      </c>
      <c r="C35" s="425" t="s">
        <v>271</v>
      </c>
      <c r="D35" s="422">
        <f t="shared" si="13"/>
        <v>0</v>
      </c>
      <c r="E35" s="438">
        <v>39.671999999999997</v>
      </c>
      <c r="F35" s="438">
        <v>36.648000000000003</v>
      </c>
      <c r="G35" s="438">
        <v>33.335999999999999</v>
      </c>
      <c r="H35" s="438"/>
      <c r="I35" s="438">
        <v>9.5399999999999991</v>
      </c>
      <c r="J35" s="421">
        <f t="shared" si="14"/>
        <v>9.5399999999999991</v>
      </c>
      <c r="K35" s="421">
        <f t="shared" si="20"/>
        <v>9.5399999999999991</v>
      </c>
      <c r="L35" s="422">
        <f t="shared" si="15"/>
        <v>9.5399999999999991</v>
      </c>
      <c r="M35" s="422">
        <f t="shared" si="16"/>
        <v>9.5399999999999991</v>
      </c>
      <c r="N35" s="422"/>
      <c r="O35" s="422">
        <f t="shared" si="17"/>
        <v>9.5399999999999991</v>
      </c>
      <c r="P35" s="439">
        <f t="shared" si="26"/>
        <v>39.671999999999997</v>
      </c>
      <c r="Q35" s="439">
        <f t="shared" si="27"/>
        <v>38.159999999999997</v>
      </c>
      <c r="R35" s="439">
        <f t="shared" si="28"/>
        <v>34.992000000000004</v>
      </c>
      <c r="S35" s="439">
        <f t="shared" si="23"/>
        <v>14.299199999999999</v>
      </c>
      <c r="T35" s="439">
        <f t="shared" si="24"/>
        <v>9.5399999999999991</v>
      </c>
      <c r="U35" s="439">
        <f t="shared" si="25"/>
        <v>9.5399999999999991</v>
      </c>
      <c r="V35" s="422">
        <f t="shared" si="19"/>
        <v>9.5399999999999991</v>
      </c>
    </row>
    <row r="36" spans="1:22">
      <c r="A36" s="425">
        <v>161</v>
      </c>
      <c r="B36" s="425">
        <v>30</v>
      </c>
      <c r="C36" s="425" t="s">
        <v>272</v>
      </c>
      <c r="D36" s="422">
        <f t="shared" si="13"/>
        <v>45.216000000000001</v>
      </c>
      <c r="E36" s="438">
        <v>68.760000000000005</v>
      </c>
      <c r="F36" s="438">
        <v>71.891999999999996</v>
      </c>
      <c r="G36" s="438">
        <v>65.087999999999994</v>
      </c>
      <c r="H36" s="438">
        <v>45.216000000000001</v>
      </c>
      <c r="I36" s="438">
        <v>50.04</v>
      </c>
      <c r="J36" s="421">
        <f t="shared" si="14"/>
        <v>50.04</v>
      </c>
      <c r="K36" s="421">
        <f t="shared" si="20"/>
        <v>50.04</v>
      </c>
      <c r="L36" s="422">
        <f t="shared" si="15"/>
        <v>50.04</v>
      </c>
      <c r="M36" s="422">
        <f t="shared" si="16"/>
        <v>50.04</v>
      </c>
      <c r="N36" s="422"/>
      <c r="O36" s="422">
        <f t="shared" si="17"/>
        <v>50.04</v>
      </c>
      <c r="P36" s="439">
        <f t="shared" si="26"/>
        <v>68.760000000000005</v>
      </c>
      <c r="Q36" s="439">
        <f t="shared" si="27"/>
        <v>70.325999999999993</v>
      </c>
      <c r="R36" s="439">
        <f t="shared" si="28"/>
        <v>68.489999999999995</v>
      </c>
      <c r="S36" s="439">
        <f t="shared" si="23"/>
        <v>51.744</v>
      </c>
      <c r="T36" s="439">
        <f t="shared" si="24"/>
        <v>50.04</v>
      </c>
      <c r="U36" s="439">
        <f t="shared" si="25"/>
        <v>50.04</v>
      </c>
      <c r="V36" s="422">
        <f t="shared" si="19"/>
        <v>50.04</v>
      </c>
    </row>
    <row r="37" spans="1:22">
      <c r="A37" s="425">
        <v>98</v>
      </c>
      <c r="B37" s="425">
        <v>31</v>
      </c>
      <c r="C37" s="425" t="s">
        <v>273</v>
      </c>
      <c r="D37" s="422">
        <f t="shared" si="13"/>
        <v>43.884</v>
      </c>
      <c r="E37" s="438">
        <v>52.235999999999997</v>
      </c>
      <c r="F37" s="438">
        <v>51.768000000000001</v>
      </c>
      <c r="G37" s="438">
        <v>49.607999999999997</v>
      </c>
      <c r="H37" s="438">
        <v>43.884</v>
      </c>
      <c r="I37" s="438">
        <v>55.692</v>
      </c>
      <c r="J37" s="421">
        <f t="shared" si="14"/>
        <v>55.692</v>
      </c>
      <c r="K37" s="421">
        <f t="shared" si="20"/>
        <v>55.692</v>
      </c>
      <c r="L37" s="422">
        <f t="shared" si="15"/>
        <v>55.692</v>
      </c>
      <c r="M37" s="422">
        <f t="shared" si="16"/>
        <v>55.692</v>
      </c>
      <c r="N37" s="422"/>
      <c r="O37" s="422">
        <f t="shared" si="17"/>
        <v>55.692</v>
      </c>
      <c r="P37" s="439">
        <f t="shared" si="26"/>
        <v>52.235999999999997</v>
      </c>
      <c r="Q37" s="439">
        <f t="shared" si="27"/>
        <v>52.001999999999995</v>
      </c>
      <c r="R37" s="439">
        <f t="shared" si="28"/>
        <v>50.688000000000002</v>
      </c>
      <c r="S37" s="439">
        <f t="shared" si="23"/>
        <v>52.71</v>
      </c>
      <c r="T37" s="439">
        <f t="shared" si="24"/>
        <v>55.692</v>
      </c>
      <c r="U37" s="439">
        <f t="shared" si="25"/>
        <v>55.692</v>
      </c>
      <c r="V37" s="422">
        <f t="shared" si="19"/>
        <v>55.692</v>
      </c>
    </row>
    <row r="38" spans="1:22">
      <c r="A38" s="425">
        <v>142</v>
      </c>
      <c r="B38" s="425">
        <v>32</v>
      </c>
      <c r="C38" s="425" t="s">
        <v>274</v>
      </c>
      <c r="D38" s="422">
        <f t="shared" si="13"/>
        <v>55.332000000000001</v>
      </c>
      <c r="E38" s="438">
        <v>85.968000000000004</v>
      </c>
      <c r="F38" s="438">
        <v>61.163999999999994</v>
      </c>
      <c r="G38" s="438">
        <v>52.776000000000003</v>
      </c>
      <c r="H38" s="438">
        <v>55.332000000000001</v>
      </c>
      <c r="I38" s="438">
        <v>48.564</v>
      </c>
      <c r="J38" s="421">
        <f t="shared" si="14"/>
        <v>48.564</v>
      </c>
      <c r="K38" s="421">
        <f t="shared" si="20"/>
        <v>48.564</v>
      </c>
      <c r="L38" s="422">
        <f t="shared" si="15"/>
        <v>48.564</v>
      </c>
      <c r="M38" s="422">
        <f t="shared" si="16"/>
        <v>48.564</v>
      </c>
      <c r="N38" s="422"/>
      <c r="O38" s="422">
        <f t="shared" si="17"/>
        <v>48.564</v>
      </c>
      <c r="P38" s="439">
        <f t="shared" si="26"/>
        <v>85.968000000000004</v>
      </c>
      <c r="Q38" s="439">
        <f t="shared" si="27"/>
        <v>73.566000000000003</v>
      </c>
      <c r="R38" s="439">
        <f t="shared" si="28"/>
        <v>56.97</v>
      </c>
      <c r="S38" s="439">
        <f t="shared" si="23"/>
        <v>50.393999999999998</v>
      </c>
      <c r="T38" s="439">
        <f t="shared" si="24"/>
        <v>48.564</v>
      </c>
      <c r="U38" s="439">
        <f t="shared" si="25"/>
        <v>48.564</v>
      </c>
      <c r="V38" s="422">
        <f t="shared" si="19"/>
        <v>48.564</v>
      </c>
    </row>
    <row r="39" spans="1:22">
      <c r="A39" s="425">
        <v>99</v>
      </c>
      <c r="B39" s="425">
        <v>33</v>
      </c>
      <c r="C39" s="425" t="s">
        <v>275</v>
      </c>
      <c r="D39" s="422">
        <f t="shared" si="13"/>
        <v>24.768000000000001</v>
      </c>
      <c r="E39" s="438">
        <v>50.183999999999997</v>
      </c>
      <c r="F39" s="438">
        <v>34.595999999999997</v>
      </c>
      <c r="G39" s="438">
        <v>29.304000000000002</v>
      </c>
      <c r="H39" s="438">
        <v>24.768000000000001</v>
      </c>
      <c r="I39" s="438">
        <v>38.844000000000001</v>
      </c>
      <c r="J39" s="421">
        <f t="shared" si="14"/>
        <v>38.844000000000001</v>
      </c>
      <c r="K39" s="421">
        <f t="shared" si="20"/>
        <v>38.844000000000001</v>
      </c>
      <c r="L39" s="422">
        <f t="shared" si="15"/>
        <v>38.844000000000001</v>
      </c>
      <c r="M39" s="422">
        <f t="shared" ref="M39:M70" si="29">L39</f>
        <v>38.844000000000001</v>
      </c>
      <c r="N39" s="422"/>
      <c r="O39" s="422">
        <f t="shared" ref="O39:O70" si="30">L39</f>
        <v>38.844000000000001</v>
      </c>
      <c r="P39" s="439">
        <f t="shared" si="26"/>
        <v>50.183999999999997</v>
      </c>
      <c r="Q39" s="439">
        <f t="shared" si="27"/>
        <v>42.39</v>
      </c>
      <c r="R39" s="439">
        <f t="shared" si="28"/>
        <v>31.95</v>
      </c>
      <c r="S39" s="439">
        <f t="shared" si="23"/>
        <v>34.907999999999994</v>
      </c>
      <c r="T39" s="439">
        <f t="shared" si="24"/>
        <v>38.844000000000001</v>
      </c>
      <c r="U39" s="439">
        <f t="shared" si="25"/>
        <v>38.844000000000001</v>
      </c>
      <c r="V39" s="422">
        <f t="shared" si="19"/>
        <v>38.844000000000001</v>
      </c>
    </row>
    <row r="40" spans="1:22">
      <c r="A40" s="425">
        <v>273</v>
      </c>
      <c r="B40" s="425">
        <v>34</v>
      </c>
      <c r="C40" s="425" t="s">
        <v>276</v>
      </c>
      <c r="D40" s="422">
        <f t="shared" si="13"/>
        <v>83.268000000000001</v>
      </c>
      <c r="E40" s="438">
        <v>105.768</v>
      </c>
      <c r="F40" s="438">
        <v>109.224</v>
      </c>
      <c r="G40" s="438">
        <v>100.65600000000001</v>
      </c>
      <c r="H40" s="438">
        <v>83.268000000000001</v>
      </c>
      <c r="I40" s="438">
        <v>81.900000000000006</v>
      </c>
      <c r="J40" s="421">
        <f t="shared" si="14"/>
        <v>81.900000000000006</v>
      </c>
      <c r="K40" s="421">
        <f t="shared" si="20"/>
        <v>81.900000000000006</v>
      </c>
      <c r="L40" s="422">
        <f t="shared" si="15"/>
        <v>81.900000000000006</v>
      </c>
      <c r="M40" s="422">
        <f t="shared" si="29"/>
        <v>81.900000000000006</v>
      </c>
      <c r="N40" s="422"/>
      <c r="O40" s="422">
        <f t="shared" si="30"/>
        <v>81.900000000000006</v>
      </c>
      <c r="P40" s="439">
        <f t="shared" si="26"/>
        <v>105.768</v>
      </c>
      <c r="Q40" s="439">
        <f t="shared" si="27"/>
        <v>107.49600000000001</v>
      </c>
      <c r="R40" s="439">
        <f t="shared" si="28"/>
        <v>104.94</v>
      </c>
      <c r="S40" s="439">
        <f t="shared" ref="S40:S71" si="31">AVERAGE(G40:L40)</f>
        <v>85.254000000000005</v>
      </c>
      <c r="T40" s="439">
        <f t="shared" si="24"/>
        <v>81.900000000000006</v>
      </c>
      <c r="U40" s="439">
        <f t="shared" si="25"/>
        <v>81.900000000000006</v>
      </c>
      <c r="V40" s="422">
        <f t="shared" si="19"/>
        <v>81.900000000000006</v>
      </c>
    </row>
    <row r="41" spans="1:22">
      <c r="A41" s="425">
        <v>140</v>
      </c>
      <c r="B41" s="425">
        <v>35</v>
      </c>
      <c r="C41" s="425" t="s">
        <v>277</v>
      </c>
      <c r="D41" s="422">
        <f t="shared" si="13"/>
        <v>56.556000000000004</v>
      </c>
      <c r="E41" s="438">
        <v>60.012000000000008</v>
      </c>
      <c r="F41" s="438">
        <v>63.180000000000007</v>
      </c>
      <c r="G41" s="438">
        <v>54.072000000000003</v>
      </c>
      <c r="H41" s="438">
        <v>56.556000000000004</v>
      </c>
      <c r="I41" s="438">
        <v>46.404000000000003</v>
      </c>
      <c r="J41" s="421">
        <f t="shared" si="14"/>
        <v>46.404000000000003</v>
      </c>
      <c r="K41" s="421">
        <f t="shared" si="20"/>
        <v>46.404000000000003</v>
      </c>
      <c r="L41" s="422">
        <f t="shared" si="15"/>
        <v>46.404000000000003</v>
      </c>
      <c r="M41" s="422">
        <f t="shared" si="29"/>
        <v>46.404000000000003</v>
      </c>
      <c r="N41" s="422"/>
      <c r="O41" s="422">
        <f t="shared" si="30"/>
        <v>46.404000000000003</v>
      </c>
      <c r="P41" s="439">
        <f t="shared" si="26"/>
        <v>60.012000000000008</v>
      </c>
      <c r="Q41" s="439">
        <f t="shared" si="27"/>
        <v>61.596000000000004</v>
      </c>
      <c r="R41" s="439">
        <f t="shared" si="28"/>
        <v>58.626000000000005</v>
      </c>
      <c r="S41" s="439">
        <f t="shared" si="31"/>
        <v>49.374000000000002</v>
      </c>
      <c r="T41" s="439">
        <f t="shared" si="24"/>
        <v>46.404000000000003</v>
      </c>
      <c r="U41" s="439">
        <f t="shared" si="25"/>
        <v>46.404000000000003</v>
      </c>
      <c r="V41" s="422">
        <f t="shared" si="19"/>
        <v>46.404000000000003</v>
      </c>
    </row>
    <row r="42" spans="1:22">
      <c r="A42" s="425">
        <v>277</v>
      </c>
      <c r="B42" s="425">
        <v>36</v>
      </c>
      <c r="C42" s="425" t="s">
        <v>278</v>
      </c>
      <c r="D42" s="422">
        <f t="shared" si="13"/>
        <v>50.652000000000001</v>
      </c>
      <c r="E42" s="438">
        <v>78.768000000000001</v>
      </c>
      <c r="F42" s="438">
        <v>55.908000000000001</v>
      </c>
      <c r="G42" s="438">
        <v>48.131999999999998</v>
      </c>
      <c r="H42" s="438">
        <v>50.652000000000001</v>
      </c>
      <c r="I42" s="438">
        <v>44.423999999999999</v>
      </c>
      <c r="J42" s="421">
        <f t="shared" si="14"/>
        <v>44.423999999999999</v>
      </c>
      <c r="K42" s="421">
        <f t="shared" si="20"/>
        <v>44.423999999999999</v>
      </c>
      <c r="L42" s="422">
        <f t="shared" si="15"/>
        <v>44.423999999999999</v>
      </c>
      <c r="M42" s="422">
        <f t="shared" si="29"/>
        <v>44.423999999999999</v>
      </c>
      <c r="N42" s="422"/>
      <c r="O42" s="422">
        <f t="shared" si="30"/>
        <v>44.423999999999999</v>
      </c>
      <c r="P42" s="439">
        <f t="shared" si="26"/>
        <v>78.768000000000001</v>
      </c>
      <c r="Q42" s="439">
        <f t="shared" si="27"/>
        <v>67.337999999999994</v>
      </c>
      <c r="R42" s="439">
        <f t="shared" si="28"/>
        <v>52.019999999999996</v>
      </c>
      <c r="S42" s="439">
        <f t="shared" si="31"/>
        <v>46.080000000000005</v>
      </c>
      <c r="T42" s="439">
        <f t="shared" si="24"/>
        <v>44.423999999999999</v>
      </c>
      <c r="U42" s="439">
        <f t="shared" si="25"/>
        <v>44.423999999999999</v>
      </c>
      <c r="V42" s="422">
        <f t="shared" si="19"/>
        <v>44.423999999999999</v>
      </c>
    </row>
    <row r="43" spans="1:22">
      <c r="A43" s="425">
        <v>408</v>
      </c>
      <c r="B43" s="425">
        <v>37</v>
      </c>
      <c r="C43" s="425" t="s">
        <v>279</v>
      </c>
      <c r="D43" s="422">
        <f t="shared" si="13"/>
        <v>113.616</v>
      </c>
      <c r="E43" s="438">
        <v>151.596</v>
      </c>
      <c r="F43" s="438">
        <v>148.32000000000002</v>
      </c>
      <c r="G43" s="438">
        <v>145.26000000000002</v>
      </c>
      <c r="H43" s="438">
        <v>113.616</v>
      </c>
      <c r="I43" s="438">
        <v>134.49600000000001</v>
      </c>
      <c r="J43" s="421">
        <f t="shared" si="14"/>
        <v>134.49600000000001</v>
      </c>
      <c r="K43" s="421">
        <f t="shared" si="20"/>
        <v>134.49600000000001</v>
      </c>
      <c r="L43" s="422">
        <f t="shared" si="15"/>
        <v>134.49600000000001</v>
      </c>
      <c r="M43" s="422">
        <f t="shared" si="29"/>
        <v>134.49600000000001</v>
      </c>
      <c r="N43" s="422"/>
      <c r="O43" s="422">
        <f t="shared" si="30"/>
        <v>134.49600000000001</v>
      </c>
      <c r="P43" s="439">
        <f t="shared" si="26"/>
        <v>151.596</v>
      </c>
      <c r="Q43" s="439">
        <f t="shared" si="27"/>
        <v>149.95800000000003</v>
      </c>
      <c r="R43" s="439">
        <f t="shared" si="28"/>
        <v>146.79000000000002</v>
      </c>
      <c r="S43" s="439">
        <f t="shared" si="31"/>
        <v>132.81</v>
      </c>
      <c r="T43" s="439">
        <f t="shared" si="24"/>
        <v>134.49600000000001</v>
      </c>
      <c r="U43" s="439">
        <f t="shared" si="25"/>
        <v>134.49600000000001</v>
      </c>
      <c r="V43" s="422">
        <f t="shared" si="19"/>
        <v>134.49600000000001</v>
      </c>
    </row>
    <row r="44" spans="1:22">
      <c r="A44" s="425">
        <v>125</v>
      </c>
      <c r="B44" s="425">
        <v>38</v>
      </c>
      <c r="C44" s="425" t="s">
        <v>280</v>
      </c>
      <c r="D44" s="422">
        <f t="shared" si="13"/>
        <v>56.628</v>
      </c>
      <c r="E44" s="438">
        <v>58.5</v>
      </c>
      <c r="F44" s="438">
        <v>54.323999999999998</v>
      </c>
      <c r="G44" s="438">
        <v>60.804000000000002</v>
      </c>
      <c r="H44" s="438">
        <v>56.628</v>
      </c>
      <c r="I44" s="438">
        <v>56.988</v>
      </c>
      <c r="J44" s="421">
        <f t="shared" si="14"/>
        <v>56.988</v>
      </c>
      <c r="K44" s="421">
        <f t="shared" si="20"/>
        <v>56.988</v>
      </c>
      <c r="L44" s="422">
        <f t="shared" si="15"/>
        <v>56.988</v>
      </c>
      <c r="M44" s="422">
        <f t="shared" si="29"/>
        <v>56.988</v>
      </c>
      <c r="N44" s="422"/>
      <c r="O44" s="422">
        <f t="shared" si="30"/>
        <v>56.988</v>
      </c>
      <c r="P44" s="439">
        <f t="shared" si="26"/>
        <v>58.5</v>
      </c>
      <c r="Q44" s="439">
        <f t="shared" si="27"/>
        <v>56.411999999999999</v>
      </c>
      <c r="R44" s="439">
        <f t="shared" si="28"/>
        <v>57.564</v>
      </c>
      <c r="S44" s="439">
        <f t="shared" si="31"/>
        <v>57.564</v>
      </c>
      <c r="T44" s="439">
        <f t="shared" si="24"/>
        <v>56.988</v>
      </c>
      <c r="U44" s="439">
        <f t="shared" si="25"/>
        <v>56.988</v>
      </c>
      <c r="V44" s="422">
        <f t="shared" si="19"/>
        <v>56.988</v>
      </c>
    </row>
    <row r="45" spans="1:22">
      <c r="A45" s="425">
        <v>359</v>
      </c>
      <c r="B45" s="425">
        <v>39</v>
      </c>
      <c r="C45" s="425" t="s">
        <v>281</v>
      </c>
      <c r="D45" s="422">
        <f t="shared" si="13"/>
        <v>60.876000000000005</v>
      </c>
      <c r="E45" s="438">
        <v>70.236000000000004</v>
      </c>
      <c r="F45" s="438">
        <v>62.82</v>
      </c>
      <c r="G45" s="438">
        <v>70.091999999999999</v>
      </c>
      <c r="H45" s="438">
        <v>60.876000000000005</v>
      </c>
      <c r="I45" s="438">
        <v>58.572000000000003</v>
      </c>
      <c r="J45" s="421">
        <f t="shared" si="14"/>
        <v>58.572000000000003</v>
      </c>
      <c r="K45" s="421">
        <f t="shared" si="20"/>
        <v>58.572000000000003</v>
      </c>
      <c r="L45" s="422">
        <f t="shared" si="15"/>
        <v>58.572000000000003</v>
      </c>
      <c r="M45" s="422">
        <f t="shared" si="29"/>
        <v>58.572000000000003</v>
      </c>
      <c r="N45" s="422"/>
      <c r="O45" s="422">
        <f t="shared" si="30"/>
        <v>58.572000000000003</v>
      </c>
      <c r="P45" s="439">
        <f t="shared" si="26"/>
        <v>70.236000000000004</v>
      </c>
      <c r="Q45" s="439">
        <f t="shared" si="27"/>
        <v>66.528000000000006</v>
      </c>
      <c r="R45" s="439">
        <f t="shared" si="28"/>
        <v>66.456000000000003</v>
      </c>
      <c r="S45" s="439">
        <f t="shared" si="31"/>
        <v>60.876000000000005</v>
      </c>
      <c r="T45" s="439">
        <f t="shared" si="24"/>
        <v>58.572000000000003</v>
      </c>
      <c r="U45" s="439">
        <f t="shared" si="25"/>
        <v>58.572000000000003</v>
      </c>
      <c r="V45" s="422">
        <f t="shared" si="19"/>
        <v>58.572000000000003</v>
      </c>
    </row>
    <row r="46" spans="1:22">
      <c r="A46" s="425">
        <v>363</v>
      </c>
      <c r="B46" s="425">
        <v>40</v>
      </c>
      <c r="C46" s="425" t="s">
        <v>282</v>
      </c>
      <c r="D46" s="422">
        <f t="shared" si="13"/>
        <v>46.007999999999996</v>
      </c>
      <c r="E46" s="438">
        <v>54</v>
      </c>
      <c r="F46" s="438">
        <v>53.531999999999996</v>
      </c>
      <c r="G46" s="438">
        <v>50.22</v>
      </c>
      <c r="H46" s="438">
        <v>46.007999999999996</v>
      </c>
      <c r="I46" s="438">
        <v>58.104000000000006</v>
      </c>
      <c r="J46" s="421">
        <f t="shared" si="14"/>
        <v>58.104000000000006</v>
      </c>
      <c r="K46" s="421">
        <f t="shared" si="20"/>
        <v>58.104000000000006</v>
      </c>
      <c r="L46" s="422">
        <f t="shared" si="15"/>
        <v>58.104000000000006</v>
      </c>
      <c r="M46" s="422">
        <f t="shared" si="29"/>
        <v>58.104000000000006</v>
      </c>
      <c r="N46" s="422"/>
      <c r="O46" s="422">
        <f t="shared" si="30"/>
        <v>58.104000000000006</v>
      </c>
      <c r="P46" s="439">
        <f t="shared" si="26"/>
        <v>54</v>
      </c>
      <c r="Q46" s="439">
        <f t="shared" si="27"/>
        <v>53.765999999999998</v>
      </c>
      <c r="R46" s="439">
        <f t="shared" si="28"/>
        <v>51.875999999999998</v>
      </c>
      <c r="S46" s="439">
        <f t="shared" si="31"/>
        <v>54.774000000000001</v>
      </c>
      <c r="T46" s="439">
        <f t="shared" si="24"/>
        <v>58.104000000000006</v>
      </c>
      <c r="U46" s="439">
        <f t="shared" si="25"/>
        <v>58.104000000000006</v>
      </c>
      <c r="V46" s="422">
        <f t="shared" si="19"/>
        <v>58.104000000000006</v>
      </c>
    </row>
    <row r="47" spans="1:22">
      <c r="A47" s="425">
        <v>178</v>
      </c>
      <c r="B47" s="425">
        <v>41</v>
      </c>
      <c r="C47" s="425" t="s">
        <v>283</v>
      </c>
      <c r="D47" s="422">
        <f t="shared" si="13"/>
        <v>45.216000000000001</v>
      </c>
      <c r="E47" s="438">
        <v>69.695999999999998</v>
      </c>
      <c r="F47" s="438">
        <v>49.068000000000005</v>
      </c>
      <c r="G47" s="438">
        <v>42.264000000000003</v>
      </c>
      <c r="H47" s="438">
        <v>45.216000000000001</v>
      </c>
      <c r="I47" s="438">
        <v>40.392000000000003</v>
      </c>
      <c r="J47" s="421">
        <f t="shared" si="14"/>
        <v>40.392000000000003</v>
      </c>
      <c r="K47" s="421">
        <f t="shared" si="20"/>
        <v>40.392000000000003</v>
      </c>
      <c r="L47" s="422">
        <f t="shared" si="15"/>
        <v>40.392000000000003</v>
      </c>
      <c r="M47" s="422">
        <f t="shared" si="29"/>
        <v>40.392000000000003</v>
      </c>
      <c r="N47" s="422"/>
      <c r="O47" s="422">
        <f t="shared" si="30"/>
        <v>40.392000000000003</v>
      </c>
      <c r="P47" s="439">
        <f t="shared" si="26"/>
        <v>69.695999999999998</v>
      </c>
      <c r="Q47" s="439">
        <f t="shared" si="27"/>
        <v>59.382000000000005</v>
      </c>
      <c r="R47" s="439">
        <f t="shared" si="28"/>
        <v>45.666000000000004</v>
      </c>
      <c r="S47" s="439">
        <f t="shared" si="31"/>
        <v>41.508000000000003</v>
      </c>
      <c r="T47" s="439">
        <f t="shared" si="24"/>
        <v>40.392000000000003</v>
      </c>
      <c r="U47" s="439">
        <f t="shared" si="25"/>
        <v>40.392000000000003</v>
      </c>
      <c r="V47" s="422">
        <f t="shared" si="19"/>
        <v>40.392000000000003</v>
      </c>
    </row>
    <row r="48" spans="1:22">
      <c r="A48" s="425">
        <v>100</v>
      </c>
      <c r="B48" s="425">
        <v>42</v>
      </c>
      <c r="C48" s="425" t="s">
        <v>284</v>
      </c>
      <c r="D48" s="422">
        <f t="shared" si="13"/>
        <v>20.196000000000002</v>
      </c>
      <c r="E48" s="438">
        <v>54.143999999999998</v>
      </c>
      <c r="F48" s="438">
        <v>32.904000000000003</v>
      </c>
      <c r="G48" s="438">
        <v>27.828000000000003</v>
      </c>
      <c r="H48" s="438">
        <v>20.196000000000002</v>
      </c>
      <c r="I48" s="438">
        <v>22.824000000000002</v>
      </c>
      <c r="J48" s="421">
        <f t="shared" si="14"/>
        <v>22.824000000000002</v>
      </c>
      <c r="K48" s="421">
        <f t="shared" si="20"/>
        <v>22.824000000000002</v>
      </c>
      <c r="L48" s="422">
        <f t="shared" si="15"/>
        <v>22.824000000000002</v>
      </c>
      <c r="M48" s="422">
        <f t="shared" si="29"/>
        <v>22.824000000000002</v>
      </c>
      <c r="N48" s="422"/>
      <c r="O48" s="422">
        <f t="shared" si="30"/>
        <v>22.824000000000002</v>
      </c>
      <c r="P48" s="439">
        <f t="shared" ref="P48:P79" si="32">AVERAGE(E48:E48)</f>
        <v>54.143999999999998</v>
      </c>
      <c r="Q48" s="439">
        <f t="shared" ref="Q48:Q79" si="33">AVERAGE(E48:F48)</f>
        <v>43.524000000000001</v>
      </c>
      <c r="R48" s="439">
        <f t="shared" ref="R48:R79" si="34">AVERAGE(F48:G48)</f>
        <v>30.366000000000003</v>
      </c>
      <c r="S48" s="439">
        <f t="shared" si="31"/>
        <v>23.22</v>
      </c>
      <c r="T48" s="439">
        <f t="shared" si="24"/>
        <v>22.824000000000002</v>
      </c>
      <c r="U48" s="439">
        <f t="shared" si="25"/>
        <v>22.824000000000002</v>
      </c>
      <c r="V48" s="422">
        <f t="shared" si="19"/>
        <v>22.824000000000002</v>
      </c>
    </row>
    <row r="49" spans="1:22">
      <c r="A49" s="425">
        <v>338</v>
      </c>
      <c r="B49" s="425">
        <v>43</v>
      </c>
      <c r="C49" s="425" t="s">
        <v>285</v>
      </c>
      <c r="D49" s="422">
        <f t="shared" si="13"/>
        <v>55.295999999999999</v>
      </c>
      <c r="E49" s="438">
        <v>85.968000000000004</v>
      </c>
      <c r="F49" s="438">
        <v>61.163999999999994</v>
      </c>
      <c r="G49" s="438">
        <v>52.56</v>
      </c>
      <c r="H49" s="438">
        <v>55.295999999999999</v>
      </c>
      <c r="I49" s="438">
        <v>48.564</v>
      </c>
      <c r="J49" s="421">
        <f t="shared" si="14"/>
        <v>48.564</v>
      </c>
      <c r="K49" s="421">
        <f t="shared" si="20"/>
        <v>48.564</v>
      </c>
      <c r="L49" s="422">
        <f t="shared" si="15"/>
        <v>48.564</v>
      </c>
      <c r="M49" s="422">
        <f t="shared" si="29"/>
        <v>48.564</v>
      </c>
      <c r="N49" s="422"/>
      <c r="O49" s="422">
        <f t="shared" si="30"/>
        <v>48.564</v>
      </c>
      <c r="P49" s="439">
        <f t="shared" si="32"/>
        <v>85.968000000000004</v>
      </c>
      <c r="Q49" s="439">
        <f t="shared" si="33"/>
        <v>73.566000000000003</v>
      </c>
      <c r="R49" s="439">
        <f t="shared" si="34"/>
        <v>56.861999999999995</v>
      </c>
      <c r="S49" s="439">
        <f t="shared" si="31"/>
        <v>50.351999999999997</v>
      </c>
      <c r="T49" s="439">
        <f t="shared" si="24"/>
        <v>48.564</v>
      </c>
      <c r="U49" s="439">
        <f t="shared" si="25"/>
        <v>48.564</v>
      </c>
      <c r="V49" s="422">
        <f t="shared" si="19"/>
        <v>48.564</v>
      </c>
    </row>
    <row r="50" spans="1:22">
      <c r="A50" s="425">
        <v>282</v>
      </c>
      <c r="B50" s="425">
        <v>44</v>
      </c>
      <c r="C50" s="425" t="s">
        <v>286</v>
      </c>
      <c r="D50" s="422">
        <f t="shared" si="13"/>
        <v>22.608000000000001</v>
      </c>
      <c r="E50" s="438">
        <v>67.968000000000004</v>
      </c>
      <c r="F50" s="438">
        <v>45.036000000000001</v>
      </c>
      <c r="G50" s="438">
        <v>44.928000000000004</v>
      </c>
      <c r="H50" s="438">
        <v>22.608000000000001</v>
      </c>
      <c r="I50" s="438">
        <v>23.724</v>
      </c>
      <c r="J50" s="421">
        <f t="shared" si="14"/>
        <v>23.724</v>
      </c>
      <c r="K50" s="421">
        <f t="shared" si="20"/>
        <v>23.724</v>
      </c>
      <c r="L50" s="422">
        <f t="shared" si="15"/>
        <v>23.724</v>
      </c>
      <c r="M50" s="422">
        <f t="shared" si="29"/>
        <v>23.724</v>
      </c>
      <c r="N50" s="422"/>
      <c r="O50" s="422">
        <f t="shared" si="30"/>
        <v>23.724</v>
      </c>
      <c r="P50" s="439">
        <f t="shared" si="32"/>
        <v>67.968000000000004</v>
      </c>
      <c r="Q50" s="439">
        <f t="shared" si="33"/>
        <v>56.502000000000002</v>
      </c>
      <c r="R50" s="439">
        <f t="shared" si="34"/>
        <v>44.981999999999999</v>
      </c>
      <c r="S50" s="439">
        <f t="shared" si="31"/>
        <v>27.071999999999999</v>
      </c>
      <c r="T50" s="439">
        <f t="shared" si="24"/>
        <v>23.724</v>
      </c>
      <c r="U50" s="439">
        <f t="shared" si="25"/>
        <v>23.724</v>
      </c>
      <c r="V50" s="422">
        <f t="shared" si="19"/>
        <v>23.724</v>
      </c>
    </row>
    <row r="51" spans="1:22">
      <c r="A51" s="425">
        <v>5</v>
      </c>
      <c r="B51" s="425">
        <v>45</v>
      </c>
      <c r="C51" s="425" t="s">
        <v>287</v>
      </c>
      <c r="D51" s="422">
        <f t="shared" si="13"/>
        <v>16.488</v>
      </c>
      <c r="E51" s="438">
        <v>372.06</v>
      </c>
      <c r="F51" s="438">
        <v>17.856000000000002</v>
      </c>
      <c r="G51" s="438">
        <v>7.6320000000000006</v>
      </c>
      <c r="H51" s="438">
        <v>16.488</v>
      </c>
      <c r="I51" s="438">
        <v>8.0640000000000018</v>
      </c>
      <c r="J51" s="421">
        <f t="shared" si="14"/>
        <v>8.0640000000000018</v>
      </c>
      <c r="K51" s="421">
        <f t="shared" si="20"/>
        <v>8.0640000000000018</v>
      </c>
      <c r="L51" s="422">
        <f t="shared" si="15"/>
        <v>8.0640000000000018</v>
      </c>
      <c r="M51" s="422">
        <f t="shared" si="29"/>
        <v>8.0640000000000018</v>
      </c>
      <c r="N51" s="422"/>
      <c r="O51" s="422">
        <f t="shared" si="30"/>
        <v>8.0640000000000018</v>
      </c>
      <c r="P51" s="439">
        <f t="shared" si="32"/>
        <v>372.06</v>
      </c>
      <c r="Q51" s="439">
        <f t="shared" si="33"/>
        <v>194.958</v>
      </c>
      <c r="R51" s="439">
        <f t="shared" si="34"/>
        <v>12.744000000000002</v>
      </c>
      <c r="S51" s="439">
        <f t="shared" si="31"/>
        <v>9.3960000000000008</v>
      </c>
      <c r="T51" s="439">
        <f t="shared" si="24"/>
        <v>8.0640000000000018</v>
      </c>
      <c r="U51" s="439">
        <f t="shared" si="25"/>
        <v>8.0640000000000018</v>
      </c>
      <c r="V51" s="422">
        <f t="shared" si="19"/>
        <v>8.0640000000000018</v>
      </c>
    </row>
    <row r="52" spans="1:22">
      <c r="A52" s="425">
        <v>246</v>
      </c>
      <c r="B52" s="425">
        <v>46</v>
      </c>
      <c r="C52" s="425" t="s">
        <v>288</v>
      </c>
      <c r="D52" s="422">
        <f t="shared" si="13"/>
        <v>111.63600000000001</v>
      </c>
      <c r="E52" s="438">
        <v>122.544</v>
      </c>
      <c r="F52" s="438">
        <v>102.744</v>
      </c>
      <c r="G52" s="438">
        <v>121.57200000000002</v>
      </c>
      <c r="H52" s="438">
        <v>111.63600000000001</v>
      </c>
      <c r="I52" s="438">
        <v>77.832000000000008</v>
      </c>
      <c r="J52" s="421">
        <f t="shared" si="14"/>
        <v>77.832000000000008</v>
      </c>
      <c r="K52" s="421">
        <f t="shared" si="20"/>
        <v>77.832000000000008</v>
      </c>
      <c r="L52" s="422">
        <f t="shared" si="15"/>
        <v>77.832000000000008</v>
      </c>
      <c r="M52" s="422">
        <f t="shared" si="29"/>
        <v>77.832000000000008</v>
      </c>
      <c r="N52" s="422"/>
      <c r="O52" s="422">
        <f t="shared" si="30"/>
        <v>77.832000000000008</v>
      </c>
      <c r="P52" s="439">
        <f t="shared" si="32"/>
        <v>122.544</v>
      </c>
      <c r="Q52" s="439">
        <f t="shared" si="33"/>
        <v>112.64400000000001</v>
      </c>
      <c r="R52" s="439">
        <f t="shared" si="34"/>
        <v>112.15800000000002</v>
      </c>
      <c r="S52" s="439">
        <f t="shared" si="31"/>
        <v>90.756000000000014</v>
      </c>
      <c r="T52" s="439">
        <f t="shared" si="24"/>
        <v>77.832000000000008</v>
      </c>
      <c r="U52" s="439">
        <f t="shared" si="25"/>
        <v>77.832000000000008</v>
      </c>
      <c r="V52" s="422">
        <f t="shared" si="19"/>
        <v>77.832000000000008</v>
      </c>
    </row>
    <row r="53" spans="1:22">
      <c r="A53" s="425">
        <v>252</v>
      </c>
      <c r="B53" s="425">
        <v>47</v>
      </c>
      <c r="C53" s="425" t="s">
        <v>289</v>
      </c>
      <c r="D53" s="422">
        <f t="shared" si="13"/>
        <v>47.628</v>
      </c>
      <c r="E53" s="438">
        <v>74.304000000000002</v>
      </c>
      <c r="F53" s="438">
        <v>52.488</v>
      </c>
      <c r="G53" s="438">
        <v>44.82</v>
      </c>
      <c r="H53" s="438">
        <v>47.628</v>
      </c>
      <c r="I53" s="438">
        <v>42.372</v>
      </c>
      <c r="J53" s="421">
        <f t="shared" si="14"/>
        <v>42.372</v>
      </c>
      <c r="K53" s="421">
        <f t="shared" si="20"/>
        <v>42.372</v>
      </c>
      <c r="L53" s="422">
        <f t="shared" si="15"/>
        <v>42.372</v>
      </c>
      <c r="M53" s="422">
        <f t="shared" si="29"/>
        <v>42.372</v>
      </c>
      <c r="N53" s="422"/>
      <c r="O53" s="422">
        <f t="shared" si="30"/>
        <v>42.372</v>
      </c>
      <c r="P53" s="439">
        <f t="shared" si="32"/>
        <v>74.304000000000002</v>
      </c>
      <c r="Q53" s="439">
        <f t="shared" si="33"/>
        <v>63.396000000000001</v>
      </c>
      <c r="R53" s="439">
        <f t="shared" si="34"/>
        <v>48.653999999999996</v>
      </c>
      <c r="S53" s="439">
        <f t="shared" si="31"/>
        <v>43.656000000000006</v>
      </c>
      <c r="T53" s="439">
        <f t="shared" si="24"/>
        <v>42.372</v>
      </c>
      <c r="U53" s="439">
        <f t="shared" si="25"/>
        <v>42.372</v>
      </c>
      <c r="V53" s="422">
        <f t="shared" si="19"/>
        <v>42.372</v>
      </c>
    </row>
    <row r="54" spans="1:22">
      <c r="A54" s="425">
        <v>328</v>
      </c>
      <c r="B54" s="425">
        <v>48</v>
      </c>
      <c r="C54" s="425" t="s">
        <v>290</v>
      </c>
      <c r="D54" s="422">
        <f t="shared" si="13"/>
        <v>57.456000000000003</v>
      </c>
      <c r="E54" s="438">
        <v>68.076000000000008</v>
      </c>
      <c r="F54" s="438">
        <v>53.244</v>
      </c>
      <c r="G54" s="438">
        <v>47.592000000000006</v>
      </c>
      <c r="H54" s="438">
        <v>57.456000000000003</v>
      </c>
      <c r="I54" s="438">
        <v>41.4</v>
      </c>
      <c r="J54" s="421">
        <f t="shared" si="14"/>
        <v>41.4</v>
      </c>
      <c r="K54" s="421">
        <f t="shared" si="20"/>
        <v>41.4</v>
      </c>
      <c r="L54" s="422">
        <f t="shared" si="15"/>
        <v>41.4</v>
      </c>
      <c r="M54" s="422">
        <f t="shared" si="29"/>
        <v>41.4</v>
      </c>
      <c r="N54" s="422"/>
      <c r="O54" s="422">
        <f t="shared" si="30"/>
        <v>41.4</v>
      </c>
      <c r="P54" s="439">
        <f t="shared" si="32"/>
        <v>68.076000000000008</v>
      </c>
      <c r="Q54" s="439">
        <f t="shared" si="33"/>
        <v>60.660000000000004</v>
      </c>
      <c r="R54" s="439">
        <f t="shared" si="34"/>
        <v>50.418000000000006</v>
      </c>
      <c r="S54" s="439">
        <f t="shared" si="31"/>
        <v>45.108000000000004</v>
      </c>
      <c r="T54" s="439">
        <f t="shared" si="24"/>
        <v>41.4</v>
      </c>
      <c r="U54" s="439">
        <f t="shared" si="25"/>
        <v>41.4</v>
      </c>
      <c r="V54" s="422">
        <f t="shared" si="19"/>
        <v>41.4</v>
      </c>
    </row>
    <row r="55" spans="1:22">
      <c r="A55" s="425">
        <v>198</v>
      </c>
      <c r="B55" s="425">
        <v>49</v>
      </c>
      <c r="C55" s="425" t="s">
        <v>291</v>
      </c>
      <c r="D55" s="422">
        <f t="shared" si="13"/>
        <v>40.643999999999998</v>
      </c>
      <c r="E55" s="438">
        <v>44.928000000000004</v>
      </c>
      <c r="F55" s="438">
        <v>52.668000000000006</v>
      </c>
      <c r="G55" s="438">
        <v>52.271999999999998</v>
      </c>
      <c r="H55" s="438">
        <v>40.643999999999998</v>
      </c>
      <c r="I55" s="438">
        <v>41.183999999999997</v>
      </c>
      <c r="J55" s="421">
        <f t="shared" si="14"/>
        <v>41.183999999999997</v>
      </c>
      <c r="K55" s="421">
        <f t="shared" si="20"/>
        <v>41.183999999999997</v>
      </c>
      <c r="L55" s="422">
        <f t="shared" si="15"/>
        <v>41.183999999999997</v>
      </c>
      <c r="M55" s="422">
        <f t="shared" si="29"/>
        <v>41.183999999999997</v>
      </c>
      <c r="N55" s="422"/>
      <c r="O55" s="422">
        <f t="shared" si="30"/>
        <v>41.183999999999997</v>
      </c>
      <c r="P55" s="439">
        <f t="shared" si="32"/>
        <v>44.928000000000004</v>
      </c>
      <c r="Q55" s="439">
        <f t="shared" si="33"/>
        <v>48.798000000000002</v>
      </c>
      <c r="R55" s="439">
        <f t="shared" si="34"/>
        <v>52.47</v>
      </c>
      <c r="S55" s="439">
        <f t="shared" si="31"/>
        <v>42.942</v>
      </c>
      <c r="T55" s="439">
        <f t="shared" si="24"/>
        <v>41.183999999999997</v>
      </c>
      <c r="U55" s="439">
        <f t="shared" si="25"/>
        <v>41.183999999999997</v>
      </c>
      <c r="V55" s="422">
        <f t="shared" si="19"/>
        <v>41.183999999999997</v>
      </c>
    </row>
    <row r="56" spans="1:22">
      <c r="A56" s="425">
        <v>472</v>
      </c>
      <c r="B56" s="425">
        <v>50</v>
      </c>
      <c r="C56" s="425" t="s">
        <v>292</v>
      </c>
      <c r="D56" s="422">
        <f t="shared" si="13"/>
        <v>5.1840000000000002</v>
      </c>
      <c r="E56" s="438">
        <v>11.088000000000001</v>
      </c>
      <c r="F56" s="438">
        <v>14.904</v>
      </c>
      <c r="G56" s="438">
        <v>10.692</v>
      </c>
      <c r="H56" s="438">
        <v>5.1840000000000002</v>
      </c>
      <c r="I56" s="438">
        <v>10.836</v>
      </c>
      <c r="J56" s="421">
        <f t="shared" si="14"/>
        <v>10.836</v>
      </c>
      <c r="K56" s="421">
        <f t="shared" si="20"/>
        <v>10.836</v>
      </c>
      <c r="L56" s="422">
        <f t="shared" si="15"/>
        <v>10.836</v>
      </c>
      <c r="M56" s="422">
        <f t="shared" si="29"/>
        <v>10.836</v>
      </c>
      <c r="N56" s="422"/>
      <c r="O56" s="422">
        <f t="shared" si="30"/>
        <v>10.836</v>
      </c>
      <c r="P56" s="439">
        <f t="shared" si="32"/>
        <v>11.088000000000001</v>
      </c>
      <c r="Q56" s="439">
        <f t="shared" si="33"/>
        <v>12.996</v>
      </c>
      <c r="R56" s="439">
        <f t="shared" si="34"/>
        <v>12.798</v>
      </c>
      <c r="S56" s="439">
        <f t="shared" si="31"/>
        <v>9.8699999999999992</v>
      </c>
      <c r="T56" s="439">
        <f t="shared" si="24"/>
        <v>10.836</v>
      </c>
      <c r="U56" s="439">
        <f t="shared" si="25"/>
        <v>10.836</v>
      </c>
      <c r="V56" s="422">
        <f t="shared" si="19"/>
        <v>10.836</v>
      </c>
    </row>
    <row r="57" spans="1:22">
      <c r="A57" s="425">
        <v>141</v>
      </c>
      <c r="B57" s="425">
        <v>51</v>
      </c>
      <c r="C57" s="425" t="s">
        <v>293</v>
      </c>
      <c r="D57" s="422">
        <f t="shared" si="13"/>
        <v>2.2680000000000002</v>
      </c>
      <c r="E57" s="438">
        <v>1.548</v>
      </c>
      <c r="F57" s="438">
        <v>4.8240000000000007</v>
      </c>
      <c r="G57" s="438">
        <v>4.7520000000000007</v>
      </c>
      <c r="H57" s="438">
        <v>2.2680000000000002</v>
      </c>
      <c r="I57" s="438">
        <v>1.4400000000000002</v>
      </c>
      <c r="J57" s="421">
        <f t="shared" si="14"/>
        <v>1.4400000000000002</v>
      </c>
      <c r="K57" s="421">
        <f t="shared" si="20"/>
        <v>1.4400000000000002</v>
      </c>
      <c r="L57" s="422">
        <f t="shared" si="15"/>
        <v>1.4400000000000002</v>
      </c>
      <c r="M57" s="422">
        <f t="shared" si="29"/>
        <v>1.4400000000000002</v>
      </c>
      <c r="N57" s="422"/>
      <c r="O57" s="422">
        <f t="shared" si="30"/>
        <v>1.4400000000000002</v>
      </c>
      <c r="P57" s="439">
        <f t="shared" si="32"/>
        <v>1.548</v>
      </c>
      <c r="Q57" s="439">
        <f t="shared" si="33"/>
        <v>3.1860000000000004</v>
      </c>
      <c r="R57" s="439">
        <f t="shared" si="34"/>
        <v>4.7880000000000003</v>
      </c>
      <c r="S57" s="439">
        <f t="shared" si="31"/>
        <v>2.13</v>
      </c>
      <c r="T57" s="439">
        <f t="shared" si="24"/>
        <v>1.4400000000000002</v>
      </c>
      <c r="U57" s="439">
        <f t="shared" si="25"/>
        <v>1.4400000000000002</v>
      </c>
      <c r="V57" s="422">
        <f t="shared" si="19"/>
        <v>1.4400000000000002</v>
      </c>
    </row>
    <row r="58" spans="1:22">
      <c r="A58" s="425">
        <v>75</v>
      </c>
      <c r="B58" s="425">
        <v>52</v>
      </c>
      <c r="C58" s="425" t="s">
        <v>294</v>
      </c>
      <c r="D58" s="422">
        <f t="shared" si="13"/>
        <v>28.907999999999998</v>
      </c>
      <c r="E58" s="438">
        <v>41.04</v>
      </c>
      <c r="F58" s="438">
        <v>39.131999999999998</v>
      </c>
      <c r="G58" s="438">
        <v>52.452000000000005</v>
      </c>
      <c r="H58" s="438">
        <v>28.907999999999998</v>
      </c>
      <c r="I58" s="438">
        <v>28.980000000000004</v>
      </c>
      <c r="J58" s="421">
        <f t="shared" si="14"/>
        <v>28.980000000000004</v>
      </c>
      <c r="K58" s="421">
        <f t="shared" si="20"/>
        <v>28.980000000000004</v>
      </c>
      <c r="L58" s="422">
        <f t="shared" si="15"/>
        <v>28.980000000000004</v>
      </c>
      <c r="M58" s="422">
        <f t="shared" si="29"/>
        <v>28.980000000000004</v>
      </c>
      <c r="N58" s="422"/>
      <c r="O58" s="422">
        <f t="shared" si="30"/>
        <v>28.980000000000004</v>
      </c>
      <c r="P58" s="439">
        <f t="shared" si="32"/>
        <v>41.04</v>
      </c>
      <c r="Q58" s="439">
        <f t="shared" si="33"/>
        <v>40.085999999999999</v>
      </c>
      <c r="R58" s="439">
        <f t="shared" si="34"/>
        <v>45.792000000000002</v>
      </c>
      <c r="S58" s="439">
        <f t="shared" si="31"/>
        <v>32.880000000000003</v>
      </c>
      <c r="T58" s="439">
        <f t="shared" si="24"/>
        <v>28.980000000000004</v>
      </c>
      <c r="U58" s="439">
        <f t="shared" si="25"/>
        <v>28.980000000000004</v>
      </c>
      <c r="V58" s="422">
        <f t="shared" si="19"/>
        <v>28.980000000000004</v>
      </c>
    </row>
    <row r="59" spans="1:22">
      <c r="A59" s="425">
        <v>388</v>
      </c>
      <c r="B59" s="425">
        <v>53</v>
      </c>
      <c r="C59" s="425" t="s">
        <v>295</v>
      </c>
      <c r="D59" s="422">
        <f t="shared" si="13"/>
        <v>6.984</v>
      </c>
      <c r="E59" s="438">
        <v>1.8360000000000001</v>
      </c>
      <c r="F59" s="438">
        <v>1.3680000000000001</v>
      </c>
      <c r="G59" s="438">
        <v>5.04</v>
      </c>
      <c r="H59" s="438">
        <v>6.984</v>
      </c>
      <c r="I59" s="438">
        <v>4.5</v>
      </c>
      <c r="J59" s="421">
        <f t="shared" si="14"/>
        <v>4.5</v>
      </c>
      <c r="K59" s="421">
        <f t="shared" si="20"/>
        <v>4.5</v>
      </c>
      <c r="L59" s="422">
        <f t="shared" si="15"/>
        <v>4.5</v>
      </c>
      <c r="M59" s="422">
        <f t="shared" si="29"/>
        <v>4.5</v>
      </c>
      <c r="N59" s="422"/>
      <c r="O59" s="422">
        <f t="shared" si="30"/>
        <v>4.5</v>
      </c>
      <c r="P59" s="439">
        <f t="shared" si="32"/>
        <v>1.8360000000000001</v>
      </c>
      <c r="Q59" s="439">
        <f t="shared" si="33"/>
        <v>1.6020000000000001</v>
      </c>
      <c r="R59" s="439">
        <f t="shared" si="34"/>
        <v>3.2040000000000002</v>
      </c>
      <c r="S59" s="439">
        <f t="shared" si="31"/>
        <v>5.0040000000000004</v>
      </c>
      <c r="T59" s="439">
        <f t="shared" si="24"/>
        <v>4.5</v>
      </c>
      <c r="U59" s="439">
        <f t="shared" si="25"/>
        <v>4.5</v>
      </c>
      <c r="V59" s="422">
        <f t="shared" si="19"/>
        <v>4.5</v>
      </c>
    </row>
    <row r="60" spans="1:22">
      <c r="A60" s="425">
        <v>151</v>
      </c>
      <c r="B60" s="425">
        <v>54</v>
      </c>
      <c r="C60" s="425" t="s">
        <v>296</v>
      </c>
      <c r="D60" s="422">
        <f t="shared" si="13"/>
        <v>0.32400000000000001</v>
      </c>
      <c r="E60" s="438">
        <v>0.25200000000000006</v>
      </c>
      <c r="F60" s="438">
        <v>0.25200000000000006</v>
      </c>
      <c r="G60" s="438">
        <v>2.16</v>
      </c>
      <c r="H60" s="438">
        <v>0.32400000000000001</v>
      </c>
      <c r="I60" s="438">
        <v>0.432</v>
      </c>
      <c r="J60" s="421">
        <f t="shared" si="14"/>
        <v>0.432</v>
      </c>
      <c r="K60" s="421">
        <f t="shared" si="20"/>
        <v>0.432</v>
      </c>
      <c r="L60" s="422">
        <f t="shared" si="15"/>
        <v>0.432</v>
      </c>
      <c r="M60" s="422">
        <f t="shared" si="29"/>
        <v>0.432</v>
      </c>
      <c r="N60" s="422"/>
      <c r="O60" s="422">
        <f t="shared" si="30"/>
        <v>0.432</v>
      </c>
      <c r="P60" s="439">
        <f t="shared" si="32"/>
        <v>0.25200000000000006</v>
      </c>
      <c r="Q60" s="439">
        <f t="shared" si="33"/>
        <v>0.25200000000000006</v>
      </c>
      <c r="R60" s="439">
        <f t="shared" si="34"/>
        <v>1.2060000000000002</v>
      </c>
      <c r="S60" s="439">
        <f t="shared" si="31"/>
        <v>0.70199999999999996</v>
      </c>
      <c r="T60" s="439">
        <f t="shared" si="24"/>
        <v>0.432</v>
      </c>
      <c r="U60" s="439">
        <f t="shared" si="25"/>
        <v>0.432</v>
      </c>
      <c r="V60" s="422">
        <f t="shared" si="19"/>
        <v>0.432</v>
      </c>
    </row>
    <row r="61" spans="1:22">
      <c r="A61" s="425">
        <v>174</v>
      </c>
      <c r="B61" s="425">
        <v>55</v>
      </c>
      <c r="C61" s="425" t="s">
        <v>297</v>
      </c>
      <c r="D61" s="422">
        <f t="shared" si="13"/>
        <v>55.872</v>
      </c>
      <c r="E61" s="438">
        <v>96.660000000000011</v>
      </c>
      <c r="F61" s="438">
        <v>65.304000000000002</v>
      </c>
      <c r="G61" s="438">
        <v>61.92</v>
      </c>
      <c r="H61" s="438">
        <v>55.872</v>
      </c>
      <c r="I61" s="438">
        <v>47.664000000000001</v>
      </c>
      <c r="J61" s="421">
        <f t="shared" si="14"/>
        <v>47.664000000000001</v>
      </c>
      <c r="K61" s="421">
        <f t="shared" si="20"/>
        <v>47.664000000000001</v>
      </c>
      <c r="L61" s="422">
        <f t="shared" si="15"/>
        <v>47.664000000000001</v>
      </c>
      <c r="M61" s="422">
        <f t="shared" si="29"/>
        <v>47.664000000000001</v>
      </c>
      <c r="N61" s="422"/>
      <c r="O61" s="422">
        <f t="shared" si="30"/>
        <v>47.664000000000001</v>
      </c>
      <c r="P61" s="439">
        <f t="shared" si="32"/>
        <v>96.660000000000011</v>
      </c>
      <c r="Q61" s="439">
        <f t="shared" si="33"/>
        <v>80.981999999999999</v>
      </c>
      <c r="R61" s="439">
        <f t="shared" si="34"/>
        <v>63.612000000000002</v>
      </c>
      <c r="S61" s="439">
        <f t="shared" si="31"/>
        <v>51.407999999999994</v>
      </c>
      <c r="T61" s="439">
        <f t="shared" si="24"/>
        <v>47.664000000000001</v>
      </c>
      <c r="U61" s="439">
        <f t="shared" si="25"/>
        <v>47.664000000000001</v>
      </c>
      <c r="V61" s="422">
        <f t="shared" si="19"/>
        <v>47.664000000000001</v>
      </c>
    </row>
    <row r="62" spans="1:22">
      <c r="A62" s="425">
        <v>126</v>
      </c>
      <c r="B62" s="425">
        <v>56</v>
      </c>
      <c r="C62" s="425" t="s">
        <v>298</v>
      </c>
      <c r="D62" s="422">
        <f t="shared" si="13"/>
        <v>9.468</v>
      </c>
      <c r="E62" s="438">
        <v>13.356</v>
      </c>
      <c r="F62" s="438">
        <v>13.32</v>
      </c>
      <c r="G62" s="438">
        <v>14.796000000000001</v>
      </c>
      <c r="H62" s="438">
        <v>9.468</v>
      </c>
      <c r="I62" s="438">
        <v>16.488</v>
      </c>
      <c r="J62" s="421">
        <f t="shared" si="14"/>
        <v>16.488</v>
      </c>
      <c r="K62" s="421">
        <f t="shared" si="20"/>
        <v>16.488</v>
      </c>
      <c r="L62" s="422">
        <f t="shared" si="15"/>
        <v>16.488</v>
      </c>
      <c r="M62" s="422">
        <f t="shared" si="29"/>
        <v>16.488</v>
      </c>
      <c r="N62" s="422"/>
      <c r="O62" s="422">
        <f t="shared" si="30"/>
        <v>16.488</v>
      </c>
      <c r="P62" s="439">
        <f t="shared" si="32"/>
        <v>13.356</v>
      </c>
      <c r="Q62" s="439">
        <f t="shared" si="33"/>
        <v>13.338000000000001</v>
      </c>
      <c r="R62" s="439">
        <f t="shared" si="34"/>
        <v>14.058</v>
      </c>
      <c r="S62" s="439">
        <f t="shared" si="31"/>
        <v>15.036000000000001</v>
      </c>
      <c r="T62" s="439">
        <f t="shared" si="24"/>
        <v>16.488</v>
      </c>
      <c r="U62" s="439">
        <f t="shared" si="25"/>
        <v>16.488</v>
      </c>
      <c r="V62" s="422">
        <f t="shared" si="19"/>
        <v>16.488</v>
      </c>
    </row>
    <row r="63" spans="1:22">
      <c r="A63" s="425">
        <v>378</v>
      </c>
      <c r="B63" s="425">
        <v>57</v>
      </c>
      <c r="C63" s="425" t="s">
        <v>299</v>
      </c>
      <c r="D63" s="422">
        <f t="shared" si="13"/>
        <v>30.347999999999999</v>
      </c>
      <c r="E63" s="438">
        <v>52.992000000000004</v>
      </c>
      <c r="F63" s="438">
        <v>51.443999999999996</v>
      </c>
      <c r="G63" s="438">
        <v>36.252000000000002</v>
      </c>
      <c r="H63" s="438">
        <v>30.347999999999999</v>
      </c>
      <c r="I63" s="438">
        <v>32.364000000000004</v>
      </c>
      <c r="J63" s="421">
        <f t="shared" si="14"/>
        <v>32.364000000000004</v>
      </c>
      <c r="K63" s="421">
        <f t="shared" si="20"/>
        <v>32.364000000000004</v>
      </c>
      <c r="L63" s="422">
        <f t="shared" si="15"/>
        <v>32.364000000000004</v>
      </c>
      <c r="M63" s="422">
        <f t="shared" si="29"/>
        <v>32.364000000000004</v>
      </c>
      <c r="N63" s="422"/>
      <c r="O63" s="422">
        <f t="shared" si="30"/>
        <v>32.364000000000004</v>
      </c>
      <c r="P63" s="439">
        <f t="shared" si="32"/>
        <v>52.992000000000004</v>
      </c>
      <c r="Q63" s="439">
        <f t="shared" si="33"/>
        <v>52.218000000000004</v>
      </c>
      <c r="R63" s="439">
        <f t="shared" si="34"/>
        <v>43.847999999999999</v>
      </c>
      <c r="S63" s="439">
        <f t="shared" si="31"/>
        <v>32.676000000000002</v>
      </c>
      <c r="T63" s="439">
        <f t="shared" si="24"/>
        <v>32.364000000000004</v>
      </c>
      <c r="U63" s="439">
        <f t="shared" si="25"/>
        <v>32.364000000000004</v>
      </c>
      <c r="V63" s="422">
        <f t="shared" si="19"/>
        <v>32.364000000000004</v>
      </c>
    </row>
    <row r="64" spans="1:22">
      <c r="A64" s="425">
        <v>286</v>
      </c>
      <c r="B64" s="425">
        <v>58</v>
      </c>
      <c r="C64" s="425" t="s">
        <v>300</v>
      </c>
      <c r="D64" s="422">
        <f t="shared" si="13"/>
        <v>6.2640000000000002</v>
      </c>
      <c r="E64" s="438">
        <v>67.356000000000009</v>
      </c>
      <c r="F64" s="438">
        <v>7.6320000000000006</v>
      </c>
      <c r="G64" s="438">
        <v>21.06</v>
      </c>
      <c r="H64" s="438">
        <v>6.2640000000000002</v>
      </c>
      <c r="I64" s="438">
        <v>7.5600000000000005</v>
      </c>
      <c r="J64" s="421">
        <f t="shared" si="14"/>
        <v>7.5600000000000005</v>
      </c>
      <c r="K64" s="421">
        <f t="shared" si="20"/>
        <v>7.5600000000000005</v>
      </c>
      <c r="L64" s="422">
        <f t="shared" si="15"/>
        <v>7.5600000000000005</v>
      </c>
      <c r="M64" s="422">
        <f t="shared" si="29"/>
        <v>7.5600000000000005</v>
      </c>
      <c r="N64" s="422"/>
      <c r="O64" s="422">
        <f t="shared" si="30"/>
        <v>7.5600000000000005</v>
      </c>
      <c r="P64" s="439">
        <f t="shared" si="32"/>
        <v>67.356000000000009</v>
      </c>
      <c r="Q64" s="439">
        <f t="shared" si="33"/>
        <v>37.494000000000007</v>
      </c>
      <c r="R64" s="439">
        <f t="shared" si="34"/>
        <v>14.346</v>
      </c>
      <c r="S64" s="439">
        <f t="shared" si="31"/>
        <v>9.5940000000000012</v>
      </c>
      <c r="T64" s="439">
        <f t="shared" si="24"/>
        <v>7.5600000000000005</v>
      </c>
      <c r="U64" s="439">
        <f t="shared" si="25"/>
        <v>7.5600000000000005</v>
      </c>
      <c r="V64" s="422">
        <f t="shared" si="19"/>
        <v>7.5600000000000005</v>
      </c>
    </row>
    <row r="65" spans="1:22">
      <c r="A65" s="425">
        <v>165</v>
      </c>
      <c r="B65" s="425">
        <v>59</v>
      </c>
      <c r="C65" s="425" t="s">
        <v>301</v>
      </c>
      <c r="D65" s="422">
        <f t="shared" si="13"/>
        <v>87.156000000000006</v>
      </c>
      <c r="E65" s="438">
        <v>88.451999999999998</v>
      </c>
      <c r="F65" s="438">
        <v>90.936000000000007</v>
      </c>
      <c r="G65" s="438">
        <v>95.436000000000007</v>
      </c>
      <c r="H65" s="438">
        <v>87.156000000000006</v>
      </c>
      <c r="I65" s="438">
        <v>91.188000000000002</v>
      </c>
      <c r="J65" s="421">
        <f t="shared" si="14"/>
        <v>91.188000000000002</v>
      </c>
      <c r="K65" s="421">
        <f t="shared" si="20"/>
        <v>91.188000000000002</v>
      </c>
      <c r="L65" s="422">
        <f t="shared" si="15"/>
        <v>91.188000000000002</v>
      </c>
      <c r="M65" s="422">
        <f t="shared" si="29"/>
        <v>91.188000000000002</v>
      </c>
      <c r="N65" s="422"/>
      <c r="O65" s="422">
        <f t="shared" si="30"/>
        <v>91.188000000000002</v>
      </c>
      <c r="P65" s="439">
        <f t="shared" si="32"/>
        <v>88.451999999999998</v>
      </c>
      <c r="Q65" s="439">
        <f t="shared" si="33"/>
        <v>89.694000000000003</v>
      </c>
      <c r="R65" s="439">
        <f t="shared" si="34"/>
        <v>93.186000000000007</v>
      </c>
      <c r="S65" s="439">
        <f t="shared" si="31"/>
        <v>91.224000000000004</v>
      </c>
      <c r="T65" s="439">
        <f t="shared" si="24"/>
        <v>91.188000000000002</v>
      </c>
      <c r="U65" s="439">
        <f t="shared" si="25"/>
        <v>91.188000000000002</v>
      </c>
      <c r="V65" s="422">
        <f t="shared" si="19"/>
        <v>91.188000000000002</v>
      </c>
    </row>
    <row r="66" spans="1:22">
      <c r="A66" s="425">
        <v>42</v>
      </c>
      <c r="B66" s="425">
        <v>60</v>
      </c>
      <c r="C66" s="425" t="s">
        <v>302</v>
      </c>
      <c r="D66" s="422">
        <f t="shared" si="13"/>
        <v>3.2040000000000002</v>
      </c>
      <c r="E66" s="438">
        <v>3.7800000000000002</v>
      </c>
      <c r="F66" s="438">
        <v>1.512</v>
      </c>
      <c r="G66" s="438">
        <v>6.48</v>
      </c>
      <c r="H66" s="438">
        <v>3.2040000000000002</v>
      </c>
      <c r="I66" s="438">
        <v>2.52</v>
      </c>
      <c r="J66" s="421">
        <f t="shared" si="14"/>
        <v>2.52</v>
      </c>
      <c r="K66" s="421">
        <f t="shared" si="20"/>
        <v>2.52</v>
      </c>
      <c r="L66" s="422">
        <f t="shared" si="15"/>
        <v>2.52</v>
      </c>
      <c r="M66" s="422">
        <f t="shared" si="29"/>
        <v>2.52</v>
      </c>
      <c r="N66" s="422"/>
      <c r="O66" s="422">
        <f t="shared" si="30"/>
        <v>2.52</v>
      </c>
      <c r="P66" s="439">
        <f t="shared" si="32"/>
        <v>3.7800000000000002</v>
      </c>
      <c r="Q66" s="439">
        <f t="shared" si="33"/>
        <v>2.6459999999999999</v>
      </c>
      <c r="R66" s="439">
        <f t="shared" si="34"/>
        <v>3.9960000000000004</v>
      </c>
      <c r="S66" s="439">
        <f t="shared" si="31"/>
        <v>3.294</v>
      </c>
      <c r="T66" s="439">
        <f t="shared" si="24"/>
        <v>2.52</v>
      </c>
      <c r="U66" s="439">
        <f t="shared" si="25"/>
        <v>2.52</v>
      </c>
      <c r="V66" s="422">
        <f t="shared" si="19"/>
        <v>2.52</v>
      </c>
    </row>
    <row r="67" spans="1:22">
      <c r="A67" s="425">
        <v>371</v>
      </c>
      <c r="B67" s="425">
        <v>61</v>
      </c>
      <c r="C67" s="425" t="s">
        <v>303</v>
      </c>
      <c r="D67" s="422">
        <f t="shared" si="13"/>
        <v>88.596000000000004</v>
      </c>
      <c r="E67" s="438">
        <v>82.728000000000009</v>
      </c>
      <c r="F67" s="438">
        <v>74.808000000000007</v>
      </c>
      <c r="G67" s="438">
        <v>95.616</v>
      </c>
      <c r="H67" s="438">
        <v>88.596000000000004</v>
      </c>
      <c r="I67" s="438">
        <v>55.980000000000004</v>
      </c>
      <c r="J67" s="421">
        <f t="shared" si="14"/>
        <v>55.980000000000004</v>
      </c>
      <c r="K67" s="421">
        <f t="shared" si="20"/>
        <v>55.980000000000004</v>
      </c>
      <c r="L67" s="422">
        <f t="shared" si="15"/>
        <v>55.980000000000004</v>
      </c>
      <c r="M67" s="422">
        <f t="shared" si="29"/>
        <v>55.980000000000004</v>
      </c>
      <c r="N67" s="422"/>
      <c r="O67" s="422">
        <f t="shared" si="30"/>
        <v>55.980000000000004</v>
      </c>
      <c r="P67" s="439">
        <f t="shared" si="32"/>
        <v>82.728000000000009</v>
      </c>
      <c r="Q67" s="439">
        <f t="shared" si="33"/>
        <v>78.768000000000001</v>
      </c>
      <c r="R67" s="439">
        <f t="shared" si="34"/>
        <v>85.212000000000003</v>
      </c>
      <c r="S67" s="439">
        <f t="shared" si="31"/>
        <v>68.022000000000006</v>
      </c>
      <c r="T67" s="439">
        <f t="shared" si="24"/>
        <v>55.980000000000004</v>
      </c>
      <c r="U67" s="439">
        <f t="shared" si="25"/>
        <v>55.980000000000004</v>
      </c>
      <c r="V67" s="422">
        <f t="shared" si="19"/>
        <v>55.980000000000004</v>
      </c>
    </row>
    <row r="68" spans="1:22">
      <c r="A68" s="425">
        <v>44</v>
      </c>
      <c r="B68" s="425">
        <v>62</v>
      </c>
      <c r="C68" s="425" t="s">
        <v>304</v>
      </c>
      <c r="D68" s="422">
        <f t="shared" si="13"/>
        <v>392.18400000000003</v>
      </c>
      <c r="E68" s="438">
        <v>329.65199999999999</v>
      </c>
      <c r="F68" s="438">
        <v>380.73600000000005</v>
      </c>
      <c r="G68" s="438">
        <v>396.75599999999997</v>
      </c>
      <c r="H68" s="438">
        <v>392.18400000000003</v>
      </c>
      <c r="I68" s="438">
        <v>276.87599999999998</v>
      </c>
      <c r="J68" s="421">
        <f t="shared" si="14"/>
        <v>276.87599999999998</v>
      </c>
      <c r="K68" s="421">
        <f t="shared" si="20"/>
        <v>276.87599999999998</v>
      </c>
      <c r="L68" s="422">
        <f t="shared" si="15"/>
        <v>276.87599999999998</v>
      </c>
      <c r="M68" s="422">
        <f t="shared" si="29"/>
        <v>276.87599999999998</v>
      </c>
      <c r="N68" s="422"/>
      <c r="O68" s="422">
        <f t="shared" si="30"/>
        <v>276.87599999999998</v>
      </c>
      <c r="P68" s="439">
        <f t="shared" si="32"/>
        <v>329.65199999999999</v>
      </c>
      <c r="Q68" s="439">
        <f t="shared" si="33"/>
        <v>355.19400000000002</v>
      </c>
      <c r="R68" s="439">
        <f t="shared" si="34"/>
        <v>388.74599999999998</v>
      </c>
      <c r="S68" s="439">
        <f t="shared" si="31"/>
        <v>316.07400000000001</v>
      </c>
      <c r="T68" s="439">
        <f t="shared" si="24"/>
        <v>276.87599999999998</v>
      </c>
      <c r="U68" s="439">
        <f t="shared" si="25"/>
        <v>276.87599999999998</v>
      </c>
      <c r="V68" s="422">
        <f t="shared" si="19"/>
        <v>276.87599999999998</v>
      </c>
    </row>
    <row r="69" spans="1:22">
      <c r="A69" s="425">
        <v>95</v>
      </c>
      <c r="B69" s="425">
        <v>63</v>
      </c>
      <c r="C69" s="425" t="s">
        <v>305</v>
      </c>
      <c r="D69" s="422">
        <f t="shared" si="13"/>
        <v>68.256</v>
      </c>
      <c r="E69" s="438">
        <v>75.887999999999991</v>
      </c>
      <c r="F69" s="438">
        <v>78.012000000000015</v>
      </c>
      <c r="G69" s="438">
        <v>46.943999999999996</v>
      </c>
      <c r="H69" s="438">
        <v>68.256</v>
      </c>
      <c r="I69" s="438">
        <v>92.915999999999997</v>
      </c>
      <c r="J69" s="421">
        <f t="shared" si="14"/>
        <v>92.915999999999997</v>
      </c>
      <c r="K69" s="421">
        <f t="shared" si="20"/>
        <v>92.915999999999997</v>
      </c>
      <c r="L69" s="422">
        <f t="shared" si="15"/>
        <v>92.915999999999997</v>
      </c>
      <c r="M69" s="422">
        <f t="shared" si="29"/>
        <v>92.915999999999997</v>
      </c>
      <c r="N69" s="422"/>
      <c r="O69" s="422">
        <f t="shared" si="30"/>
        <v>92.915999999999997</v>
      </c>
      <c r="P69" s="439">
        <f t="shared" si="32"/>
        <v>75.887999999999991</v>
      </c>
      <c r="Q69" s="439">
        <f t="shared" si="33"/>
        <v>76.95</v>
      </c>
      <c r="R69" s="439">
        <f t="shared" si="34"/>
        <v>62.478000000000009</v>
      </c>
      <c r="S69" s="439">
        <f t="shared" si="31"/>
        <v>81.143999999999991</v>
      </c>
      <c r="T69" s="439">
        <f t="shared" si="24"/>
        <v>92.915999999999997</v>
      </c>
      <c r="U69" s="439">
        <f t="shared" si="25"/>
        <v>92.915999999999997</v>
      </c>
      <c r="V69" s="422">
        <f t="shared" si="19"/>
        <v>92.915999999999997</v>
      </c>
    </row>
    <row r="70" spans="1:22">
      <c r="A70" s="425">
        <v>343</v>
      </c>
      <c r="B70" s="425">
        <v>64</v>
      </c>
      <c r="C70" s="425" t="s">
        <v>306</v>
      </c>
      <c r="D70" s="422">
        <f t="shared" si="13"/>
        <v>112.932</v>
      </c>
      <c r="E70" s="438">
        <v>117.36000000000001</v>
      </c>
      <c r="F70" s="438">
        <v>99.287999999999997</v>
      </c>
      <c r="G70" s="438">
        <v>122.79600000000001</v>
      </c>
      <c r="H70" s="438">
        <v>112.932</v>
      </c>
      <c r="I70" s="438">
        <v>82.043999999999997</v>
      </c>
      <c r="J70" s="421">
        <f t="shared" si="14"/>
        <v>82.043999999999997</v>
      </c>
      <c r="K70" s="421">
        <f t="shared" si="20"/>
        <v>82.043999999999997</v>
      </c>
      <c r="L70" s="422">
        <f t="shared" si="15"/>
        <v>82.043999999999997</v>
      </c>
      <c r="M70" s="422">
        <f t="shared" si="29"/>
        <v>82.043999999999997</v>
      </c>
      <c r="N70" s="422"/>
      <c r="O70" s="422">
        <f t="shared" si="30"/>
        <v>82.043999999999997</v>
      </c>
      <c r="P70" s="439">
        <f t="shared" si="32"/>
        <v>117.36000000000001</v>
      </c>
      <c r="Q70" s="439">
        <f t="shared" si="33"/>
        <v>108.32400000000001</v>
      </c>
      <c r="R70" s="439">
        <f t="shared" si="34"/>
        <v>111.042</v>
      </c>
      <c r="S70" s="439">
        <f t="shared" si="31"/>
        <v>93.983999999999995</v>
      </c>
      <c r="T70" s="439">
        <f t="shared" si="24"/>
        <v>82.043999999999997</v>
      </c>
      <c r="U70" s="439">
        <f t="shared" si="25"/>
        <v>82.043999999999997</v>
      </c>
      <c r="V70" s="422">
        <f t="shared" si="19"/>
        <v>82.043999999999997</v>
      </c>
    </row>
    <row r="71" spans="1:22">
      <c r="A71" s="425">
        <v>288</v>
      </c>
      <c r="B71" s="425">
        <v>65</v>
      </c>
      <c r="C71" s="425" t="s">
        <v>307</v>
      </c>
      <c r="D71" s="422">
        <f t="shared" ref="D71:D105" si="35">H71</f>
        <v>126.14400000000001</v>
      </c>
      <c r="E71" s="438">
        <v>189.61200000000002</v>
      </c>
      <c r="F71" s="438">
        <v>171.46800000000002</v>
      </c>
      <c r="G71" s="438">
        <v>157.06800000000001</v>
      </c>
      <c r="H71" s="438">
        <v>126.14400000000001</v>
      </c>
      <c r="I71" s="438">
        <v>97.38000000000001</v>
      </c>
      <c r="J71" s="421">
        <f t="shared" ref="J71:J104" si="36">I71</f>
        <v>97.38000000000001</v>
      </c>
      <c r="K71" s="421">
        <f t="shared" si="20"/>
        <v>97.38000000000001</v>
      </c>
      <c r="L71" s="422">
        <f t="shared" ref="L71:L104" si="37">I71</f>
        <v>97.38000000000001</v>
      </c>
      <c r="M71" s="422">
        <f t="shared" ref="M71:M86" si="38">L71</f>
        <v>97.38000000000001</v>
      </c>
      <c r="N71" s="422"/>
      <c r="O71" s="422">
        <f t="shared" ref="O71:O86" si="39">L71</f>
        <v>97.38000000000001</v>
      </c>
      <c r="P71" s="439">
        <f t="shared" si="32"/>
        <v>189.61200000000002</v>
      </c>
      <c r="Q71" s="439">
        <f t="shared" si="33"/>
        <v>180.54000000000002</v>
      </c>
      <c r="R71" s="439">
        <f t="shared" si="34"/>
        <v>164.26800000000003</v>
      </c>
      <c r="S71" s="439">
        <f t="shared" si="31"/>
        <v>112.122</v>
      </c>
      <c r="T71" s="439">
        <f t="shared" si="24"/>
        <v>97.38000000000001</v>
      </c>
      <c r="U71" s="439">
        <f t="shared" si="25"/>
        <v>97.38000000000001</v>
      </c>
      <c r="V71" s="422">
        <f t="shared" ref="V71:V86" si="40">M71</f>
        <v>97.38000000000001</v>
      </c>
    </row>
    <row r="72" spans="1:22">
      <c r="A72" s="425">
        <v>283</v>
      </c>
      <c r="B72" s="425">
        <v>66</v>
      </c>
      <c r="C72" s="425" t="s">
        <v>308</v>
      </c>
      <c r="D72" s="422">
        <f t="shared" si="35"/>
        <v>6.3719999999999999</v>
      </c>
      <c r="E72" s="438">
        <v>12.996</v>
      </c>
      <c r="F72" s="438">
        <v>14.508000000000001</v>
      </c>
      <c r="G72" s="438">
        <v>10.728</v>
      </c>
      <c r="H72" s="438">
        <v>6.3719999999999999</v>
      </c>
      <c r="I72" s="438">
        <v>5.2560000000000002</v>
      </c>
      <c r="J72" s="421">
        <f t="shared" si="36"/>
        <v>5.2560000000000002</v>
      </c>
      <c r="K72" s="421">
        <f t="shared" ref="K72:K104" si="41">I72</f>
        <v>5.2560000000000002</v>
      </c>
      <c r="L72" s="422">
        <f t="shared" si="37"/>
        <v>5.2560000000000002</v>
      </c>
      <c r="M72" s="422">
        <f t="shared" si="38"/>
        <v>5.2560000000000002</v>
      </c>
      <c r="N72" s="422"/>
      <c r="O72" s="422">
        <f t="shared" si="39"/>
        <v>5.2560000000000002</v>
      </c>
      <c r="P72" s="439">
        <f t="shared" si="32"/>
        <v>12.996</v>
      </c>
      <c r="Q72" s="439">
        <f t="shared" si="33"/>
        <v>13.752000000000001</v>
      </c>
      <c r="R72" s="439">
        <f t="shared" si="34"/>
        <v>12.618</v>
      </c>
      <c r="S72" s="439">
        <f t="shared" ref="S72:S86" si="42">AVERAGE(G72:L72)</f>
        <v>6.3540000000000001</v>
      </c>
      <c r="T72" s="439">
        <f t="shared" ref="T72:T86" si="43">O72</f>
        <v>5.2560000000000002</v>
      </c>
      <c r="U72" s="439">
        <f t="shared" ref="U72:U104" si="44">AVERAGE(J72:K72)</f>
        <v>5.2560000000000002</v>
      </c>
      <c r="V72" s="422">
        <f t="shared" si="40"/>
        <v>5.2560000000000002</v>
      </c>
    </row>
    <row r="73" spans="1:22">
      <c r="A73" s="425">
        <v>240</v>
      </c>
      <c r="B73" s="425">
        <v>67</v>
      </c>
      <c r="C73" s="425" t="s">
        <v>309</v>
      </c>
      <c r="D73" s="422">
        <f t="shared" si="35"/>
        <v>50.148000000000003</v>
      </c>
      <c r="E73" s="438">
        <v>84.924000000000007</v>
      </c>
      <c r="F73" s="438">
        <v>77.616</v>
      </c>
      <c r="G73" s="438">
        <v>64.512000000000015</v>
      </c>
      <c r="H73" s="438">
        <v>50.148000000000003</v>
      </c>
      <c r="I73" s="438">
        <v>46.26</v>
      </c>
      <c r="J73" s="421">
        <f t="shared" si="36"/>
        <v>46.26</v>
      </c>
      <c r="K73" s="421">
        <f t="shared" si="41"/>
        <v>46.26</v>
      </c>
      <c r="L73" s="422">
        <f t="shared" si="37"/>
        <v>46.26</v>
      </c>
      <c r="M73" s="422">
        <f t="shared" si="38"/>
        <v>46.26</v>
      </c>
      <c r="N73" s="422"/>
      <c r="O73" s="422">
        <f t="shared" si="39"/>
        <v>46.26</v>
      </c>
      <c r="P73" s="439">
        <f t="shared" si="32"/>
        <v>84.924000000000007</v>
      </c>
      <c r="Q73" s="439">
        <f t="shared" si="33"/>
        <v>81.27000000000001</v>
      </c>
      <c r="R73" s="439">
        <f t="shared" si="34"/>
        <v>71.064000000000007</v>
      </c>
      <c r="S73" s="439">
        <f t="shared" si="42"/>
        <v>49.949999999999996</v>
      </c>
      <c r="T73" s="439">
        <f t="shared" si="43"/>
        <v>46.26</v>
      </c>
      <c r="U73" s="439">
        <f t="shared" si="44"/>
        <v>46.26</v>
      </c>
      <c r="V73" s="422">
        <f t="shared" si="40"/>
        <v>46.26</v>
      </c>
    </row>
    <row r="74" spans="1:22">
      <c r="A74" s="425">
        <v>289</v>
      </c>
      <c r="B74" s="425">
        <v>68</v>
      </c>
      <c r="C74" s="425" t="s">
        <v>310</v>
      </c>
      <c r="D74" s="422">
        <f t="shared" si="35"/>
        <v>18.288</v>
      </c>
      <c r="E74" s="438">
        <v>51.876000000000005</v>
      </c>
      <c r="F74" s="438">
        <v>20.591999999999999</v>
      </c>
      <c r="G74" s="438">
        <v>23.400000000000002</v>
      </c>
      <c r="H74" s="438">
        <v>18.288</v>
      </c>
      <c r="I74" s="438">
        <v>16.812000000000001</v>
      </c>
      <c r="J74" s="421">
        <f t="shared" si="36"/>
        <v>16.812000000000001</v>
      </c>
      <c r="K74" s="421">
        <f t="shared" si="41"/>
        <v>16.812000000000001</v>
      </c>
      <c r="L74" s="422">
        <f t="shared" si="37"/>
        <v>16.812000000000001</v>
      </c>
      <c r="M74" s="422">
        <f t="shared" si="38"/>
        <v>16.812000000000001</v>
      </c>
      <c r="N74" s="422"/>
      <c r="O74" s="422">
        <f t="shared" si="39"/>
        <v>16.812000000000001</v>
      </c>
      <c r="P74" s="439">
        <f t="shared" si="32"/>
        <v>51.876000000000005</v>
      </c>
      <c r="Q74" s="439">
        <f t="shared" si="33"/>
        <v>36.234000000000002</v>
      </c>
      <c r="R74" s="439">
        <f t="shared" si="34"/>
        <v>21.996000000000002</v>
      </c>
      <c r="S74" s="439">
        <f t="shared" si="42"/>
        <v>18.155999999999999</v>
      </c>
      <c r="T74" s="439">
        <f t="shared" si="43"/>
        <v>16.812000000000001</v>
      </c>
      <c r="U74" s="439">
        <f t="shared" si="44"/>
        <v>16.812000000000001</v>
      </c>
      <c r="V74" s="422">
        <f t="shared" si="40"/>
        <v>16.812000000000001</v>
      </c>
    </row>
    <row r="75" spans="1:22">
      <c r="A75" s="425">
        <v>12</v>
      </c>
      <c r="B75" s="425">
        <v>69</v>
      </c>
      <c r="C75" s="425" t="s">
        <v>311</v>
      </c>
      <c r="D75" s="422">
        <f t="shared" si="35"/>
        <v>21.276</v>
      </c>
      <c r="E75" s="438">
        <v>48.42</v>
      </c>
      <c r="F75" s="438">
        <v>37.980000000000004</v>
      </c>
      <c r="G75" s="438">
        <v>45.323999999999998</v>
      </c>
      <c r="H75" s="438">
        <v>21.276</v>
      </c>
      <c r="I75" s="438">
        <v>17.856000000000002</v>
      </c>
      <c r="J75" s="421">
        <f t="shared" si="36"/>
        <v>17.856000000000002</v>
      </c>
      <c r="K75" s="421">
        <f t="shared" si="41"/>
        <v>17.856000000000002</v>
      </c>
      <c r="L75" s="422">
        <f t="shared" si="37"/>
        <v>17.856000000000002</v>
      </c>
      <c r="M75" s="422">
        <f t="shared" si="38"/>
        <v>17.856000000000002</v>
      </c>
      <c r="N75" s="422"/>
      <c r="O75" s="422">
        <f t="shared" si="39"/>
        <v>17.856000000000002</v>
      </c>
      <c r="P75" s="439">
        <f t="shared" si="32"/>
        <v>48.42</v>
      </c>
      <c r="Q75" s="439">
        <f t="shared" si="33"/>
        <v>43.2</v>
      </c>
      <c r="R75" s="439">
        <f t="shared" si="34"/>
        <v>41.652000000000001</v>
      </c>
      <c r="S75" s="439">
        <f t="shared" si="42"/>
        <v>23.003999999999994</v>
      </c>
      <c r="T75" s="439">
        <f t="shared" si="43"/>
        <v>17.856000000000002</v>
      </c>
      <c r="U75" s="439">
        <f t="shared" si="44"/>
        <v>17.856000000000002</v>
      </c>
      <c r="V75" s="422">
        <f t="shared" si="40"/>
        <v>17.856000000000002</v>
      </c>
    </row>
    <row r="76" spans="1:22">
      <c r="A76" s="425">
        <v>13</v>
      </c>
      <c r="B76" s="425">
        <v>70</v>
      </c>
      <c r="C76" s="425" t="s">
        <v>312</v>
      </c>
      <c r="D76" s="422">
        <f t="shared" si="35"/>
        <v>55.332000000000001</v>
      </c>
      <c r="E76" s="438">
        <v>85.968000000000004</v>
      </c>
      <c r="F76" s="438">
        <v>61.128</v>
      </c>
      <c r="G76" s="438">
        <v>52.488</v>
      </c>
      <c r="H76" s="438">
        <v>55.332000000000001</v>
      </c>
      <c r="I76" s="438">
        <v>48.564</v>
      </c>
      <c r="J76" s="421">
        <f t="shared" si="36"/>
        <v>48.564</v>
      </c>
      <c r="K76" s="421">
        <f t="shared" si="41"/>
        <v>48.564</v>
      </c>
      <c r="L76" s="422">
        <f t="shared" si="37"/>
        <v>48.564</v>
      </c>
      <c r="M76" s="422">
        <f t="shared" si="38"/>
        <v>48.564</v>
      </c>
      <c r="N76" s="422"/>
      <c r="O76" s="422">
        <f t="shared" si="39"/>
        <v>48.564</v>
      </c>
      <c r="P76" s="439">
        <f t="shared" si="32"/>
        <v>85.968000000000004</v>
      </c>
      <c r="Q76" s="439">
        <f t="shared" si="33"/>
        <v>73.548000000000002</v>
      </c>
      <c r="R76" s="439">
        <f t="shared" si="34"/>
        <v>56.808</v>
      </c>
      <c r="S76" s="439">
        <f t="shared" si="42"/>
        <v>50.345999999999997</v>
      </c>
      <c r="T76" s="439">
        <f t="shared" si="43"/>
        <v>48.564</v>
      </c>
      <c r="U76" s="439">
        <f t="shared" si="44"/>
        <v>48.564</v>
      </c>
      <c r="V76" s="422">
        <f t="shared" si="40"/>
        <v>48.564</v>
      </c>
    </row>
    <row r="77" spans="1:22">
      <c r="A77" s="425">
        <v>409</v>
      </c>
      <c r="B77" s="425">
        <v>71</v>
      </c>
      <c r="C77" s="425" t="s">
        <v>313</v>
      </c>
      <c r="D77" s="422">
        <f t="shared" si="35"/>
        <v>52.452000000000005</v>
      </c>
      <c r="E77" s="438">
        <v>81.612000000000009</v>
      </c>
      <c r="F77" s="438">
        <v>57.996000000000002</v>
      </c>
      <c r="G77" s="438">
        <v>49.86</v>
      </c>
      <c r="H77" s="438">
        <v>52.452000000000005</v>
      </c>
      <c r="I77" s="438">
        <v>46.080000000000005</v>
      </c>
      <c r="J77" s="421">
        <f t="shared" si="36"/>
        <v>46.080000000000005</v>
      </c>
      <c r="K77" s="421">
        <f t="shared" si="41"/>
        <v>46.080000000000005</v>
      </c>
      <c r="L77" s="422">
        <f t="shared" si="37"/>
        <v>46.080000000000005</v>
      </c>
      <c r="M77" s="422">
        <f t="shared" si="38"/>
        <v>46.080000000000005</v>
      </c>
      <c r="N77" s="422"/>
      <c r="O77" s="422">
        <f t="shared" si="39"/>
        <v>46.080000000000005</v>
      </c>
      <c r="P77" s="439">
        <f t="shared" si="32"/>
        <v>81.612000000000009</v>
      </c>
      <c r="Q77" s="439">
        <f t="shared" si="33"/>
        <v>69.804000000000002</v>
      </c>
      <c r="R77" s="439">
        <f t="shared" si="34"/>
        <v>53.927999999999997</v>
      </c>
      <c r="S77" s="439">
        <f t="shared" si="42"/>
        <v>47.772000000000013</v>
      </c>
      <c r="T77" s="439">
        <f t="shared" si="43"/>
        <v>46.080000000000005</v>
      </c>
      <c r="U77" s="439">
        <f t="shared" si="44"/>
        <v>46.080000000000005</v>
      </c>
      <c r="V77" s="422">
        <f t="shared" si="40"/>
        <v>46.080000000000005</v>
      </c>
    </row>
    <row r="78" spans="1:22">
      <c r="A78" s="425">
        <v>356</v>
      </c>
      <c r="B78" s="425">
        <v>72</v>
      </c>
      <c r="C78" s="425" t="s">
        <v>314</v>
      </c>
      <c r="D78" s="422">
        <f t="shared" si="35"/>
        <v>50.652000000000001</v>
      </c>
      <c r="E78" s="438">
        <v>164.08799999999999</v>
      </c>
      <c r="F78" s="438">
        <v>169.41600000000003</v>
      </c>
      <c r="G78" s="438">
        <v>147.816</v>
      </c>
      <c r="H78" s="438">
        <v>50.652000000000001</v>
      </c>
      <c r="I78" s="438">
        <v>53.604000000000006</v>
      </c>
      <c r="J78" s="421">
        <f t="shared" si="36"/>
        <v>53.604000000000006</v>
      </c>
      <c r="K78" s="421">
        <f t="shared" si="41"/>
        <v>53.604000000000006</v>
      </c>
      <c r="L78" s="422">
        <f t="shared" si="37"/>
        <v>53.604000000000006</v>
      </c>
      <c r="M78" s="422">
        <f t="shared" si="38"/>
        <v>53.604000000000006</v>
      </c>
      <c r="N78" s="422"/>
      <c r="O78" s="422">
        <f t="shared" si="39"/>
        <v>53.604000000000006</v>
      </c>
      <c r="P78" s="439">
        <f t="shared" si="32"/>
        <v>164.08799999999999</v>
      </c>
      <c r="Q78" s="439">
        <f t="shared" si="33"/>
        <v>166.75200000000001</v>
      </c>
      <c r="R78" s="439">
        <f t="shared" si="34"/>
        <v>158.61600000000001</v>
      </c>
      <c r="S78" s="439">
        <f t="shared" si="42"/>
        <v>68.814000000000007</v>
      </c>
      <c r="T78" s="439">
        <f t="shared" si="43"/>
        <v>53.604000000000006</v>
      </c>
      <c r="U78" s="439">
        <f t="shared" si="44"/>
        <v>53.604000000000006</v>
      </c>
      <c r="V78" s="422">
        <f t="shared" si="40"/>
        <v>53.604000000000006</v>
      </c>
    </row>
    <row r="79" spans="1:22">
      <c r="A79" s="425">
        <v>235</v>
      </c>
      <c r="B79" s="425">
        <v>73</v>
      </c>
      <c r="C79" s="425" t="s">
        <v>315</v>
      </c>
      <c r="D79" s="422">
        <f t="shared" si="35"/>
        <v>0.64800000000000002</v>
      </c>
      <c r="E79" s="438">
        <v>9.395999999999999</v>
      </c>
      <c r="F79" s="438">
        <v>0.97200000000000009</v>
      </c>
      <c r="G79" s="438">
        <v>5.6520000000000001</v>
      </c>
      <c r="H79" s="438">
        <v>0.64800000000000002</v>
      </c>
      <c r="I79" s="438">
        <v>1.1520000000000001</v>
      </c>
      <c r="J79" s="421">
        <f t="shared" si="36"/>
        <v>1.1520000000000001</v>
      </c>
      <c r="K79" s="421">
        <f t="shared" si="41"/>
        <v>1.1520000000000001</v>
      </c>
      <c r="L79" s="422">
        <f t="shared" si="37"/>
        <v>1.1520000000000001</v>
      </c>
      <c r="M79" s="422">
        <f t="shared" si="38"/>
        <v>1.1520000000000001</v>
      </c>
      <c r="N79" s="422"/>
      <c r="O79" s="422">
        <f t="shared" si="39"/>
        <v>1.1520000000000001</v>
      </c>
      <c r="P79" s="439">
        <f t="shared" si="32"/>
        <v>9.395999999999999</v>
      </c>
      <c r="Q79" s="439">
        <f t="shared" si="33"/>
        <v>5.1839999999999993</v>
      </c>
      <c r="R79" s="439">
        <f t="shared" si="34"/>
        <v>3.3120000000000003</v>
      </c>
      <c r="S79" s="439">
        <f t="shared" si="42"/>
        <v>1.8180000000000003</v>
      </c>
      <c r="T79" s="439">
        <f t="shared" si="43"/>
        <v>1.1520000000000001</v>
      </c>
      <c r="U79" s="439">
        <f t="shared" si="44"/>
        <v>1.1520000000000001</v>
      </c>
      <c r="V79" s="422">
        <f t="shared" si="40"/>
        <v>1.1520000000000001</v>
      </c>
    </row>
    <row r="80" spans="1:22">
      <c r="A80" s="425">
        <v>27</v>
      </c>
      <c r="B80" s="425">
        <v>74</v>
      </c>
      <c r="C80" s="425" t="s">
        <v>316</v>
      </c>
      <c r="D80" s="422">
        <f t="shared" si="35"/>
        <v>107.10000000000001</v>
      </c>
      <c r="E80" s="438">
        <v>102.42</v>
      </c>
      <c r="F80" s="438">
        <v>119.80800000000001</v>
      </c>
      <c r="G80" s="438">
        <v>118.33199999999999</v>
      </c>
      <c r="H80" s="438">
        <v>107.10000000000001</v>
      </c>
      <c r="I80" s="438">
        <v>91.332000000000008</v>
      </c>
      <c r="J80" s="421">
        <f t="shared" si="36"/>
        <v>91.332000000000008</v>
      </c>
      <c r="K80" s="421">
        <f t="shared" si="41"/>
        <v>91.332000000000008</v>
      </c>
      <c r="L80" s="422">
        <f t="shared" si="37"/>
        <v>91.332000000000008</v>
      </c>
      <c r="M80" s="422">
        <f t="shared" si="38"/>
        <v>91.332000000000008</v>
      </c>
      <c r="N80" s="422"/>
      <c r="O80" s="422">
        <f t="shared" si="39"/>
        <v>91.332000000000008</v>
      </c>
      <c r="P80" s="439">
        <f t="shared" ref="P80:P86" si="45">AVERAGE(E80:E80)</f>
        <v>102.42</v>
      </c>
      <c r="Q80" s="439">
        <f t="shared" ref="Q80:Q86" si="46">AVERAGE(E80:F80)</f>
        <v>111.114</v>
      </c>
      <c r="R80" s="439">
        <f t="shared" ref="R80:R86" si="47">AVERAGE(F80:G80)</f>
        <v>119.07</v>
      </c>
      <c r="S80" s="439">
        <f t="shared" si="42"/>
        <v>98.46</v>
      </c>
      <c r="T80" s="439">
        <f t="shared" si="43"/>
        <v>91.332000000000008</v>
      </c>
      <c r="U80" s="439">
        <f t="shared" si="44"/>
        <v>91.332000000000008</v>
      </c>
      <c r="V80" s="422">
        <f t="shared" si="40"/>
        <v>91.332000000000008</v>
      </c>
    </row>
    <row r="81" spans="1:22">
      <c r="A81" s="425">
        <v>456</v>
      </c>
      <c r="B81" s="425">
        <v>75</v>
      </c>
      <c r="C81" s="425" t="s">
        <v>317</v>
      </c>
      <c r="D81" s="422">
        <f t="shared" si="35"/>
        <v>54.792000000000002</v>
      </c>
      <c r="E81" s="438">
        <v>46.404000000000003</v>
      </c>
      <c r="F81" s="438">
        <v>50.112000000000002</v>
      </c>
      <c r="G81" s="438">
        <v>41.868000000000002</v>
      </c>
      <c r="H81" s="438">
        <v>54.792000000000002</v>
      </c>
      <c r="I81" s="438">
        <v>81.144000000000005</v>
      </c>
      <c r="J81" s="421">
        <f t="shared" si="36"/>
        <v>81.144000000000005</v>
      </c>
      <c r="K81" s="421">
        <f t="shared" si="41"/>
        <v>81.144000000000005</v>
      </c>
      <c r="L81" s="422">
        <f t="shared" si="37"/>
        <v>81.144000000000005</v>
      </c>
      <c r="M81" s="422">
        <f t="shared" si="38"/>
        <v>81.144000000000005</v>
      </c>
      <c r="N81" s="422"/>
      <c r="O81" s="422">
        <f t="shared" si="39"/>
        <v>81.144000000000005</v>
      </c>
      <c r="P81" s="439">
        <f t="shared" si="45"/>
        <v>46.404000000000003</v>
      </c>
      <c r="Q81" s="439">
        <f t="shared" si="46"/>
        <v>48.258000000000003</v>
      </c>
      <c r="R81" s="439">
        <f t="shared" si="47"/>
        <v>45.99</v>
      </c>
      <c r="S81" s="439">
        <f t="shared" si="42"/>
        <v>70.206000000000003</v>
      </c>
      <c r="T81" s="439">
        <f t="shared" si="43"/>
        <v>81.144000000000005</v>
      </c>
      <c r="U81" s="439">
        <f t="shared" si="44"/>
        <v>81.144000000000005</v>
      </c>
      <c r="V81" s="422">
        <f t="shared" si="40"/>
        <v>81.144000000000005</v>
      </c>
    </row>
    <row r="82" spans="1:22">
      <c r="A82" s="425" t="e">
        <v>#N/A</v>
      </c>
      <c r="B82" s="425">
        <v>76</v>
      </c>
      <c r="C82" s="425" t="s">
        <v>318</v>
      </c>
      <c r="D82" s="422">
        <f t="shared" si="35"/>
        <v>0.54</v>
      </c>
      <c r="E82" s="438">
        <v>26.388000000000002</v>
      </c>
      <c r="F82" s="438">
        <v>0</v>
      </c>
      <c r="G82" s="438">
        <v>0.75600000000000001</v>
      </c>
      <c r="H82" s="438">
        <v>0.54</v>
      </c>
      <c r="I82" s="438">
        <v>1.2240000000000002</v>
      </c>
      <c r="J82" s="421">
        <f t="shared" si="36"/>
        <v>1.2240000000000002</v>
      </c>
      <c r="K82" s="421">
        <f t="shared" si="41"/>
        <v>1.2240000000000002</v>
      </c>
      <c r="L82" s="422">
        <f t="shared" si="37"/>
        <v>1.2240000000000002</v>
      </c>
      <c r="M82" s="422">
        <f t="shared" si="38"/>
        <v>1.2240000000000002</v>
      </c>
      <c r="N82" s="422"/>
      <c r="O82" s="422">
        <f t="shared" si="39"/>
        <v>1.2240000000000002</v>
      </c>
      <c r="P82" s="439">
        <f t="shared" si="45"/>
        <v>26.388000000000002</v>
      </c>
      <c r="Q82" s="439">
        <f t="shared" si="46"/>
        <v>13.194000000000001</v>
      </c>
      <c r="R82" s="439">
        <f t="shared" si="47"/>
        <v>0.378</v>
      </c>
      <c r="S82" s="439">
        <f t="shared" si="42"/>
        <v>1.0320000000000003</v>
      </c>
      <c r="T82" s="439">
        <f t="shared" si="43"/>
        <v>1.2240000000000002</v>
      </c>
      <c r="U82" s="439">
        <f t="shared" si="44"/>
        <v>1.2240000000000002</v>
      </c>
      <c r="V82" s="422">
        <f t="shared" si="40"/>
        <v>1.2240000000000002</v>
      </c>
    </row>
    <row r="83" spans="1:22">
      <c r="A83" s="425">
        <v>76</v>
      </c>
      <c r="B83" s="425">
        <v>77</v>
      </c>
      <c r="C83" s="425" t="s">
        <v>319</v>
      </c>
      <c r="D83" s="422">
        <f t="shared" si="35"/>
        <v>30.240000000000002</v>
      </c>
      <c r="E83" s="438">
        <v>52.416000000000004</v>
      </c>
      <c r="F83" s="438">
        <v>36.072000000000003</v>
      </c>
      <c r="G83" s="438">
        <v>32.580000000000005</v>
      </c>
      <c r="H83" s="438">
        <v>30.240000000000002</v>
      </c>
      <c r="I83" s="438">
        <v>28.512</v>
      </c>
      <c r="J83" s="421">
        <f t="shared" si="36"/>
        <v>28.512</v>
      </c>
      <c r="K83" s="421">
        <f t="shared" si="41"/>
        <v>28.512</v>
      </c>
      <c r="L83" s="422">
        <f t="shared" si="37"/>
        <v>28.512</v>
      </c>
      <c r="M83" s="422">
        <f t="shared" si="38"/>
        <v>28.512</v>
      </c>
      <c r="N83" s="422"/>
      <c r="O83" s="422">
        <f t="shared" si="39"/>
        <v>28.512</v>
      </c>
      <c r="P83" s="439">
        <f t="shared" si="45"/>
        <v>52.416000000000004</v>
      </c>
      <c r="Q83" s="439">
        <f t="shared" si="46"/>
        <v>44.244</v>
      </c>
      <c r="R83" s="439">
        <f t="shared" si="47"/>
        <v>34.326000000000008</v>
      </c>
      <c r="S83" s="439">
        <f t="shared" si="42"/>
        <v>29.477999999999998</v>
      </c>
      <c r="T83" s="439">
        <f t="shared" si="43"/>
        <v>28.512</v>
      </c>
      <c r="U83" s="439">
        <f t="shared" si="44"/>
        <v>28.512</v>
      </c>
      <c r="V83" s="422">
        <f t="shared" si="40"/>
        <v>28.512</v>
      </c>
    </row>
    <row r="84" spans="1:22">
      <c r="A84" s="425">
        <v>199</v>
      </c>
      <c r="B84" s="425">
        <v>78</v>
      </c>
      <c r="C84" s="425" t="s">
        <v>320</v>
      </c>
      <c r="D84" s="422">
        <f t="shared" si="35"/>
        <v>40.572000000000003</v>
      </c>
      <c r="E84" s="438">
        <v>91.00800000000001</v>
      </c>
      <c r="F84" s="438">
        <v>47.195999999999998</v>
      </c>
      <c r="G84" s="438">
        <v>33.804000000000002</v>
      </c>
      <c r="H84" s="438">
        <v>40.572000000000003</v>
      </c>
      <c r="I84" s="438">
        <v>31.968000000000004</v>
      </c>
      <c r="J84" s="421">
        <f t="shared" si="36"/>
        <v>31.968000000000004</v>
      </c>
      <c r="K84" s="421">
        <f t="shared" si="41"/>
        <v>31.968000000000004</v>
      </c>
      <c r="L84" s="422">
        <f t="shared" si="37"/>
        <v>31.968000000000004</v>
      </c>
      <c r="M84" s="422">
        <f t="shared" si="38"/>
        <v>31.968000000000004</v>
      </c>
      <c r="N84" s="422"/>
      <c r="O84" s="422">
        <f t="shared" si="39"/>
        <v>31.968000000000004</v>
      </c>
      <c r="P84" s="439">
        <f t="shared" si="45"/>
        <v>91.00800000000001</v>
      </c>
      <c r="Q84" s="439">
        <f t="shared" si="46"/>
        <v>69.102000000000004</v>
      </c>
      <c r="R84" s="439">
        <f t="shared" si="47"/>
        <v>40.5</v>
      </c>
      <c r="S84" s="439">
        <f t="shared" si="42"/>
        <v>33.708000000000006</v>
      </c>
      <c r="T84" s="439">
        <f t="shared" si="43"/>
        <v>31.968000000000004</v>
      </c>
      <c r="U84" s="439">
        <f t="shared" si="44"/>
        <v>31.968000000000004</v>
      </c>
      <c r="V84" s="422">
        <f t="shared" si="40"/>
        <v>31.968000000000004</v>
      </c>
    </row>
    <row r="85" spans="1:22">
      <c r="A85" s="425">
        <v>373</v>
      </c>
      <c r="B85" s="425">
        <v>79</v>
      </c>
      <c r="C85" s="425" t="s">
        <v>321</v>
      </c>
      <c r="D85" s="422">
        <f t="shared" si="35"/>
        <v>55.224000000000004</v>
      </c>
      <c r="E85" s="438">
        <v>73.367999999999995</v>
      </c>
      <c r="F85" s="438">
        <v>63.504000000000005</v>
      </c>
      <c r="G85" s="438">
        <v>54.72</v>
      </c>
      <c r="H85" s="438">
        <v>55.224000000000004</v>
      </c>
      <c r="I85" s="438">
        <v>35.387999999999998</v>
      </c>
      <c r="J85" s="421">
        <f t="shared" si="36"/>
        <v>35.387999999999998</v>
      </c>
      <c r="K85" s="421">
        <f t="shared" si="41"/>
        <v>35.387999999999998</v>
      </c>
      <c r="L85" s="422">
        <f t="shared" si="37"/>
        <v>35.387999999999998</v>
      </c>
      <c r="M85" s="422">
        <f t="shared" si="38"/>
        <v>35.387999999999998</v>
      </c>
      <c r="N85" s="422"/>
      <c r="O85" s="422">
        <f t="shared" si="39"/>
        <v>35.387999999999998</v>
      </c>
      <c r="P85" s="439">
        <f t="shared" si="45"/>
        <v>73.367999999999995</v>
      </c>
      <c r="Q85" s="439">
        <f t="shared" si="46"/>
        <v>68.436000000000007</v>
      </c>
      <c r="R85" s="439">
        <f t="shared" si="47"/>
        <v>59.112000000000002</v>
      </c>
      <c r="S85" s="439">
        <f t="shared" si="42"/>
        <v>41.916000000000004</v>
      </c>
      <c r="T85" s="439">
        <f t="shared" si="43"/>
        <v>35.387999999999998</v>
      </c>
      <c r="U85" s="439">
        <f t="shared" si="44"/>
        <v>35.387999999999998</v>
      </c>
      <c r="V85" s="422">
        <f t="shared" si="40"/>
        <v>35.387999999999998</v>
      </c>
    </row>
    <row r="86" spans="1:22">
      <c r="A86" s="425">
        <v>64</v>
      </c>
      <c r="B86" s="425">
        <v>80</v>
      </c>
      <c r="C86" s="425" t="s">
        <v>322</v>
      </c>
      <c r="D86" s="422">
        <f t="shared" si="35"/>
        <v>65.412000000000006</v>
      </c>
      <c r="E86" s="438">
        <v>258.012</v>
      </c>
      <c r="F86" s="438">
        <v>258.98399999999998</v>
      </c>
      <c r="G86" s="438">
        <v>209.62799999999999</v>
      </c>
      <c r="H86" s="438">
        <v>65.412000000000006</v>
      </c>
      <c r="I86" s="438">
        <v>38.952000000000005</v>
      </c>
      <c r="J86" s="421">
        <f t="shared" si="36"/>
        <v>38.952000000000005</v>
      </c>
      <c r="K86" s="421">
        <f t="shared" si="41"/>
        <v>38.952000000000005</v>
      </c>
      <c r="L86" s="422">
        <f t="shared" si="37"/>
        <v>38.952000000000005</v>
      </c>
      <c r="M86" s="422">
        <f t="shared" si="38"/>
        <v>38.952000000000005</v>
      </c>
      <c r="N86" s="422"/>
      <c r="O86" s="422">
        <f t="shared" si="39"/>
        <v>38.952000000000005</v>
      </c>
      <c r="P86" s="439">
        <f t="shared" si="45"/>
        <v>258.012</v>
      </c>
      <c r="Q86" s="439">
        <f t="shared" si="46"/>
        <v>258.49799999999999</v>
      </c>
      <c r="R86" s="439">
        <f t="shared" si="47"/>
        <v>234.30599999999998</v>
      </c>
      <c r="S86" s="439">
        <f t="shared" si="42"/>
        <v>71.807999999999993</v>
      </c>
      <c r="T86" s="439">
        <f t="shared" si="43"/>
        <v>38.952000000000005</v>
      </c>
      <c r="U86" s="439">
        <f t="shared" si="44"/>
        <v>38.952000000000005</v>
      </c>
      <c r="V86" s="422">
        <f t="shared" si="40"/>
        <v>38.952000000000005</v>
      </c>
    </row>
    <row r="87" spans="1:22">
      <c r="A87" s="425">
        <v>271</v>
      </c>
      <c r="B87" s="425">
        <v>81</v>
      </c>
      <c r="C87" s="425" t="s">
        <v>323</v>
      </c>
      <c r="D87" s="422">
        <f t="shared" si="35"/>
        <v>0</v>
      </c>
      <c r="E87" s="438"/>
      <c r="F87" s="438"/>
      <c r="G87" s="438"/>
      <c r="H87" s="438"/>
      <c r="I87" s="438"/>
      <c r="J87" s="421">
        <f t="shared" si="36"/>
        <v>0</v>
      </c>
      <c r="K87" s="421">
        <f t="shared" si="41"/>
        <v>0</v>
      </c>
      <c r="L87" s="422">
        <f t="shared" si="37"/>
        <v>0</v>
      </c>
      <c r="M87" s="422"/>
      <c r="N87" s="422"/>
      <c r="O87" s="422"/>
      <c r="P87" s="439"/>
      <c r="Q87" s="439"/>
      <c r="R87" s="439"/>
      <c r="S87" s="439"/>
      <c r="T87" s="439"/>
      <c r="U87" s="439">
        <f t="shared" si="44"/>
        <v>0</v>
      </c>
      <c r="V87" s="422"/>
    </row>
    <row r="88" spans="1:22">
      <c r="A88" s="425">
        <v>347</v>
      </c>
      <c r="B88" s="425">
        <v>82</v>
      </c>
      <c r="C88" s="425" t="s">
        <v>324</v>
      </c>
      <c r="D88" s="422">
        <f t="shared" si="35"/>
        <v>45.648000000000003</v>
      </c>
      <c r="E88" s="438">
        <v>53.531999999999996</v>
      </c>
      <c r="F88" s="438">
        <v>56.016000000000005</v>
      </c>
      <c r="G88" s="438">
        <v>48.996000000000002</v>
      </c>
      <c r="H88" s="438">
        <v>45.648000000000003</v>
      </c>
      <c r="I88" s="438">
        <v>53.496000000000002</v>
      </c>
      <c r="J88" s="421">
        <f t="shared" si="36"/>
        <v>53.496000000000002</v>
      </c>
      <c r="K88" s="421">
        <f t="shared" si="41"/>
        <v>53.496000000000002</v>
      </c>
      <c r="L88" s="422">
        <f t="shared" si="37"/>
        <v>53.496000000000002</v>
      </c>
      <c r="M88" s="422">
        <f t="shared" ref="M88:M104" si="48">L88</f>
        <v>53.496000000000002</v>
      </c>
      <c r="N88" s="422"/>
      <c r="O88" s="422">
        <f t="shared" ref="O88:O104" si="49">L88</f>
        <v>53.496000000000002</v>
      </c>
      <c r="P88" s="439">
        <f t="shared" ref="P88:P104" si="50">AVERAGE(E88:E88)</f>
        <v>53.531999999999996</v>
      </c>
      <c r="Q88" s="439">
        <f t="shared" ref="Q88:Q104" si="51">AVERAGE(E88:F88)</f>
        <v>54.774000000000001</v>
      </c>
      <c r="R88" s="439">
        <f t="shared" ref="R88:R104" si="52">AVERAGE(F88:G88)</f>
        <v>52.506</v>
      </c>
      <c r="S88" s="439">
        <f t="shared" ref="S88:S104" si="53">AVERAGE(G88:L88)</f>
        <v>51.438000000000009</v>
      </c>
      <c r="T88" s="439">
        <f t="shared" ref="T88:T104" si="54">O88</f>
        <v>53.496000000000002</v>
      </c>
      <c r="U88" s="439">
        <f t="shared" si="44"/>
        <v>53.496000000000002</v>
      </c>
      <c r="V88" s="422">
        <f t="shared" ref="V88:V104" si="55">M88</f>
        <v>53.496000000000002</v>
      </c>
    </row>
    <row r="89" spans="1:22">
      <c r="A89" s="425">
        <v>397</v>
      </c>
      <c r="B89" s="425">
        <v>83</v>
      </c>
      <c r="C89" s="425" t="s">
        <v>325</v>
      </c>
      <c r="D89" s="422">
        <f t="shared" si="35"/>
        <v>95.796000000000006</v>
      </c>
      <c r="E89" s="438">
        <v>140.47200000000001</v>
      </c>
      <c r="F89" s="438">
        <v>169.84800000000001</v>
      </c>
      <c r="G89" s="438">
        <v>119.08799999999999</v>
      </c>
      <c r="H89" s="438">
        <v>95.796000000000006</v>
      </c>
      <c r="I89" s="438">
        <v>82.656000000000006</v>
      </c>
      <c r="J89" s="421">
        <f t="shared" si="36"/>
        <v>82.656000000000006</v>
      </c>
      <c r="K89" s="421">
        <f t="shared" si="41"/>
        <v>82.656000000000006</v>
      </c>
      <c r="L89" s="422">
        <f t="shared" si="37"/>
        <v>82.656000000000006</v>
      </c>
      <c r="M89" s="422">
        <f t="shared" si="48"/>
        <v>82.656000000000006</v>
      </c>
      <c r="N89" s="422"/>
      <c r="O89" s="422">
        <f t="shared" si="49"/>
        <v>82.656000000000006</v>
      </c>
      <c r="P89" s="439">
        <f t="shared" si="50"/>
        <v>140.47200000000001</v>
      </c>
      <c r="Q89" s="439">
        <f t="shared" si="51"/>
        <v>155.16000000000003</v>
      </c>
      <c r="R89" s="439">
        <f t="shared" si="52"/>
        <v>144.46800000000002</v>
      </c>
      <c r="S89" s="439">
        <f t="shared" si="53"/>
        <v>90.918000000000006</v>
      </c>
      <c r="T89" s="439">
        <f t="shared" si="54"/>
        <v>82.656000000000006</v>
      </c>
      <c r="U89" s="439">
        <f t="shared" si="44"/>
        <v>82.656000000000006</v>
      </c>
      <c r="V89" s="422">
        <f t="shared" si="55"/>
        <v>82.656000000000006</v>
      </c>
    </row>
    <row r="90" spans="1:22">
      <c r="A90" s="425">
        <v>14</v>
      </c>
      <c r="B90" s="425">
        <v>84</v>
      </c>
      <c r="C90" s="425" t="s">
        <v>326</v>
      </c>
      <c r="D90" s="422">
        <f t="shared" si="35"/>
        <v>0.57600000000000007</v>
      </c>
      <c r="E90" s="438">
        <v>1.0080000000000002</v>
      </c>
      <c r="F90" s="438">
        <v>15.048</v>
      </c>
      <c r="G90" s="438">
        <v>12.132000000000001</v>
      </c>
      <c r="H90" s="438">
        <v>0.57600000000000007</v>
      </c>
      <c r="I90" s="438">
        <v>1.6919999999999999</v>
      </c>
      <c r="J90" s="421">
        <f t="shared" si="36"/>
        <v>1.6919999999999999</v>
      </c>
      <c r="K90" s="421">
        <f t="shared" si="41"/>
        <v>1.6919999999999999</v>
      </c>
      <c r="L90" s="422">
        <f t="shared" si="37"/>
        <v>1.6919999999999999</v>
      </c>
      <c r="M90" s="422">
        <f t="shared" si="48"/>
        <v>1.6919999999999999</v>
      </c>
      <c r="N90" s="422"/>
      <c r="O90" s="422">
        <f t="shared" si="49"/>
        <v>1.6919999999999999</v>
      </c>
      <c r="P90" s="439">
        <f t="shared" si="50"/>
        <v>1.0080000000000002</v>
      </c>
      <c r="Q90" s="439">
        <f t="shared" si="51"/>
        <v>8.0280000000000005</v>
      </c>
      <c r="R90" s="439">
        <f t="shared" si="52"/>
        <v>13.59</v>
      </c>
      <c r="S90" s="439">
        <f t="shared" si="53"/>
        <v>3.2460000000000004</v>
      </c>
      <c r="T90" s="439">
        <f t="shared" si="54"/>
        <v>1.6919999999999999</v>
      </c>
      <c r="U90" s="439">
        <f t="shared" si="44"/>
        <v>1.6919999999999999</v>
      </c>
      <c r="V90" s="422">
        <f t="shared" si="55"/>
        <v>1.6919999999999999</v>
      </c>
    </row>
    <row r="91" spans="1:22">
      <c r="A91" s="425">
        <v>145</v>
      </c>
      <c r="B91" s="425">
        <v>85</v>
      </c>
      <c r="C91" s="425" t="s">
        <v>327</v>
      </c>
      <c r="D91" s="422">
        <f t="shared" si="35"/>
        <v>55.332000000000001</v>
      </c>
      <c r="E91" s="438">
        <v>85.968000000000004</v>
      </c>
      <c r="F91" s="438">
        <v>61.163999999999994</v>
      </c>
      <c r="G91" s="438">
        <v>52.847999999999999</v>
      </c>
      <c r="H91" s="438">
        <v>55.332000000000001</v>
      </c>
      <c r="I91" s="438">
        <v>48.564</v>
      </c>
      <c r="J91" s="421">
        <f t="shared" si="36"/>
        <v>48.564</v>
      </c>
      <c r="K91" s="421">
        <f t="shared" si="41"/>
        <v>48.564</v>
      </c>
      <c r="L91" s="422">
        <f t="shared" si="37"/>
        <v>48.564</v>
      </c>
      <c r="M91" s="422">
        <f t="shared" si="48"/>
        <v>48.564</v>
      </c>
      <c r="N91" s="422"/>
      <c r="O91" s="422">
        <f t="shared" si="49"/>
        <v>48.564</v>
      </c>
      <c r="P91" s="439">
        <f t="shared" si="50"/>
        <v>85.968000000000004</v>
      </c>
      <c r="Q91" s="439">
        <f t="shared" si="51"/>
        <v>73.566000000000003</v>
      </c>
      <c r="R91" s="439">
        <f t="shared" si="52"/>
        <v>57.006</v>
      </c>
      <c r="S91" s="439">
        <f t="shared" si="53"/>
        <v>50.405999999999999</v>
      </c>
      <c r="T91" s="439">
        <f t="shared" si="54"/>
        <v>48.564</v>
      </c>
      <c r="U91" s="439">
        <f t="shared" si="44"/>
        <v>48.564</v>
      </c>
      <c r="V91" s="422">
        <f t="shared" si="55"/>
        <v>48.564</v>
      </c>
    </row>
    <row r="92" spans="1:22">
      <c r="A92" s="425">
        <v>215</v>
      </c>
      <c r="B92" s="425">
        <v>86</v>
      </c>
      <c r="C92" s="425" t="s">
        <v>328</v>
      </c>
      <c r="D92" s="422">
        <f t="shared" si="35"/>
        <v>57.996000000000002</v>
      </c>
      <c r="E92" s="438">
        <v>69.552000000000007</v>
      </c>
      <c r="F92" s="438">
        <v>65.376000000000005</v>
      </c>
      <c r="G92" s="438">
        <v>70.992000000000004</v>
      </c>
      <c r="H92" s="438">
        <v>57.996000000000002</v>
      </c>
      <c r="I92" s="438">
        <v>61.271999999999998</v>
      </c>
      <c r="J92" s="421">
        <f t="shared" si="36"/>
        <v>61.271999999999998</v>
      </c>
      <c r="K92" s="421">
        <f t="shared" si="41"/>
        <v>61.271999999999998</v>
      </c>
      <c r="L92" s="422">
        <f t="shared" si="37"/>
        <v>61.271999999999998</v>
      </c>
      <c r="M92" s="422">
        <f t="shared" si="48"/>
        <v>61.271999999999998</v>
      </c>
      <c r="N92" s="422"/>
      <c r="O92" s="422">
        <f t="shared" si="49"/>
        <v>61.271999999999998</v>
      </c>
      <c r="P92" s="439">
        <f t="shared" si="50"/>
        <v>69.552000000000007</v>
      </c>
      <c r="Q92" s="439">
        <f t="shared" si="51"/>
        <v>67.463999999999999</v>
      </c>
      <c r="R92" s="439">
        <f t="shared" si="52"/>
        <v>68.183999999999997</v>
      </c>
      <c r="S92" s="439">
        <f t="shared" si="53"/>
        <v>62.345999999999997</v>
      </c>
      <c r="T92" s="439">
        <f t="shared" si="54"/>
        <v>61.271999999999998</v>
      </c>
      <c r="U92" s="439">
        <f t="shared" si="44"/>
        <v>61.271999999999998</v>
      </c>
      <c r="V92" s="422">
        <f t="shared" si="55"/>
        <v>61.271999999999998</v>
      </c>
    </row>
    <row r="93" spans="1:22">
      <c r="A93" s="425">
        <v>448</v>
      </c>
      <c r="B93" s="425">
        <v>87</v>
      </c>
      <c r="C93" s="425" t="s">
        <v>329</v>
      </c>
      <c r="D93" s="422">
        <f t="shared" si="35"/>
        <v>32.112000000000002</v>
      </c>
      <c r="E93" s="438">
        <v>93.995999999999995</v>
      </c>
      <c r="F93" s="438">
        <v>88.74</v>
      </c>
      <c r="G93" s="438">
        <v>62.423999999999999</v>
      </c>
      <c r="H93" s="438">
        <v>32.112000000000002</v>
      </c>
      <c r="I93" s="438">
        <v>27.396000000000001</v>
      </c>
      <c r="J93" s="421">
        <f t="shared" si="36"/>
        <v>27.396000000000001</v>
      </c>
      <c r="K93" s="421">
        <f t="shared" si="41"/>
        <v>27.396000000000001</v>
      </c>
      <c r="L93" s="422">
        <f t="shared" si="37"/>
        <v>27.396000000000001</v>
      </c>
      <c r="M93" s="422">
        <f t="shared" si="48"/>
        <v>27.396000000000001</v>
      </c>
      <c r="N93" s="422"/>
      <c r="O93" s="422">
        <f t="shared" si="49"/>
        <v>27.396000000000001</v>
      </c>
      <c r="P93" s="439">
        <f t="shared" si="50"/>
        <v>93.995999999999995</v>
      </c>
      <c r="Q93" s="439">
        <f t="shared" si="51"/>
        <v>91.367999999999995</v>
      </c>
      <c r="R93" s="439">
        <f t="shared" si="52"/>
        <v>75.581999999999994</v>
      </c>
      <c r="S93" s="439">
        <f t="shared" si="53"/>
        <v>34.020000000000003</v>
      </c>
      <c r="T93" s="439">
        <f t="shared" si="54"/>
        <v>27.396000000000001</v>
      </c>
      <c r="U93" s="439">
        <f t="shared" si="44"/>
        <v>27.396000000000001</v>
      </c>
      <c r="V93" s="422">
        <f t="shared" si="55"/>
        <v>27.396000000000001</v>
      </c>
    </row>
    <row r="94" spans="1:22">
      <c r="A94" s="425">
        <v>351</v>
      </c>
      <c r="B94" s="425">
        <v>88</v>
      </c>
      <c r="C94" s="425" t="s">
        <v>330</v>
      </c>
      <c r="D94" s="422">
        <f t="shared" si="35"/>
        <v>53.892000000000003</v>
      </c>
      <c r="E94" s="438">
        <v>83.736000000000004</v>
      </c>
      <c r="F94" s="438">
        <v>59.543999999999997</v>
      </c>
      <c r="G94" s="438">
        <v>51.156000000000006</v>
      </c>
      <c r="H94" s="438">
        <v>53.892000000000003</v>
      </c>
      <c r="I94" s="438">
        <v>47.304000000000002</v>
      </c>
      <c r="J94" s="421">
        <f t="shared" si="36"/>
        <v>47.304000000000002</v>
      </c>
      <c r="K94" s="421">
        <f t="shared" si="41"/>
        <v>47.304000000000002</v>
      </c>
      <c r="L94" s="422">
        <f t="shared" si="37"/>
        <v>47.304000000000002</v>
      </c>
      <c r="M94" s="422">
        <f t="shared" si="48"/>
        <v>47.304000000000002</v>
      </c>
      <c r="N94" s="422"/>
      <c r="O94" s="422">
        <f t="shared" si="49"/>
        <v>47.304000000000002</v>
      </c>
      <c r="P94" s="439">
        <f t="shared" si="50"/>
        <v>83.736000000000004</v>
      </c>
      <c r="Q94" s="439">
        <f t="shared" si="51"/>
        <v>71.64</v>
      </c>
      <c r="R94" s="439">
        <f t="shared" si="52"/>
        <v>55.35</v>
      </c>
      <c r="S94" s="439">
        <f t="shared" si="53"/>
        <v>49.044000000000004</v>
      </c>
      <c r="T94" s="439">
        <f t="shared" si="54"/>
        <v>47.304000000000002</v>
      </c>
      <c r="U94" s="439">
        <f t="shared" si="44"/>
        <v>47.304000000000002</v>
      </c>
      <c r="V94" s="422">
        <f t="shared" si="55"/>
        <v>47.304000000000002</v>
      </c>
    </row>
    <row r="95" spans="1:22">
      <c r="A95" s="425">
        <v>416</v>
      </c>
      <c r="B95" s="425">
        <v>89</v>
      </c>
      <c r="C95" s="425" t="s">
        <v>331</v>
      </c>
      <c r="D95" s="422">
        <f t="shared" si="35"/>
        <v>88.236000000000004</v>
      </c>
      <c r="E95" s="438">
        <v>120.636</v>
      </c>
      <c r="F95" s="438">
        <v>92.88000000000001</v>
      </c>
      <c r="G95" s="438">
        <v>102.31200000000001</v>
      </c>
      <c r="H95" s="438">
        <v>88.236000000000004</v>
      </c>
      <c r="I95" s="438">
        <v>70.272000000000006</v>
      </c>
      <c r="J95" s="421">
        <f t="shared" si="36"/>
        <v>70.272000000000006</v>
      </c>
      <c r="K95" s="421">
        <f t="shared" si="41"/>
        <v>70.272000000000006</v>
      </c>
      <c r="L95" s="422">
        <f t="shared" si="37"/>
        <v>70.272000000000006</v>
      </c>
      <c r="M95" s="422">
        <f t="shared" si="48"/>
        <v>70.272000000000006</v>
      </c>
      <c r="N95" s="422"/>
      <c r="O95" s="422">
        <f t="shared" si="49"/>
        <v>70.272000000000006</v>
      </c>
      <c r="P95" s="439">
        <f t="shared" si="50"/>
        <v>120.636</v>
      </c>
      <c r="Q95" s="439">
        <f t="shared" si="51"/>
        <v>106.75800000000001</v>
      </c>
      <c r="R95" s="439">
        <f t="shared" si="52"/>
        <v>97.596000000000004</v>
      </c>
      <c r="S95" s="439">
        <f t="shared" si="53"/>
        <v>78.605999999999995</v>
      </c>
      <c r="T95" s="439">
        <f t="shared" si="54"/>
        <v>70.272000000000006</v>
      </c>
      <c r="U95" s="439">
        <f t="shared" si="44"/>
        <v>70.272000000000006</v>
      </c>
      <c r="V95" s="422">
        <f t="shared" si="55"/>
        <v>70.272000000000006</v>
      </c>
    </row>
    <row r="96" spans="1:22">
      <c r="A96" s="425">
        <v>77</v>
      </c>
      <c r="B96" s="425">
        <v>90</v>
      </c>
      <c r="C96" s="425" t="s">
        <v>332</v>
      </c>
      <c r="D96" s="422">
        <f t="shared" si="35"/>
        <v>6.6240000000000006</v>
      </c>
      <c r="E96" s="438">
        <v>6.984</v>
      </c>
      <c r="F96" s="438">
        <v>4.7520000000000007</v>
      </c>
      <c r="G96" s="438">
        <v>4.7520000000000007</v>
      </c>
      <c r="H96" s="438">
        <v>6.6240000000000006</v>
      </c>
      <c r="I96" s="438">
        <v>9.7200000000000006</v>
      </c>
      <c r="J96" s="421">
        <f t="shared" si="36"/>
        <v>9.7200000000000006</v>
      </c>
      <c r="K96" s="421">
        <f t="shared" si="41"/>
        <v>9.7200000000000006</v>
      </c>
      <c r="L96" s="422">
        <f t="shared" si="37"/>
        <v>9.7200000000000006</v>
      </c>
      <c r="M96" s="422">
        <f t="shared" si="48"/>
        <v>9.7200000000000006</v>
      </c>
      <c r="N96" s="422"/>
      <c r="O96" s="422">
        <f t="shared" si="49"/>
        <v>9.7200000000000006</v>
      </c>
      <c r="P96" s="439">
        <f t="shared" si="50"/>
        <v>6.984</v>
      </c>
      <c r="Q96" s="439">
        <f t="shared" si="51"/>
        <v>5.8680000000000003</v>
      </c>
      <c r="R96" s="439">
        <f t="shared" si="52"/>
        <v>4.7520000000000007</v>
      </c>
      <c r="S96" s="439">
        <f t="shared" si="53"/>
        <v>8.3759999999999994</v>
      </c>
      <c r="T96" s="439">
        <f t="shared" si="54"/>
        <v>9.7200000000000006</v>
      </c>
      <c r="U96" s="439">
        <f t="shared" si="44"/>
        <v>9.7200000000000006</v>
      </c>
      <c r="V96" s="422">
        <f t="shared" si="55"/>
        <v>9.7200000000000006</v>
      </c>
    </row>
    <row r="97" spans="1:22">
      <c r="A97" s="425">
        <v>360</v>
      </c>
      <c r="B97" s="425">
        <v>91</v>
      </c>
      <c r="C97" s="425" t="s">
        <v>333</v>
      </c>
      <c r="D97" s="422">
        <f t="shared" si="35"/>
        <v>35.892000000000003</v>
      </c>
      <c r="E97" s="438">
        <v>40.176000000000002</v>
      </c>
      <c r="F97" s="438">
        <v>50.292000000000002</v>
      </c>
      <c r="G97" s="438">
        <v>46.26</v>
      </c>
      <c r="H97" s="438">
        <v>35.892000000000003</v>
      </c>
      <c r="I97" s="438">
        <v>34.884</v>
      </c>
      <c r="J97" s="421">
        <f t="shared" si="36"/>
        <v>34.884</v>
      </c>
      <c r="K97" s="421">
        <f t="shared" si="41"/>
        <v>34.884</v>
      </c>
      <c r="L97" s="422">
        <f t="shared" si="37"/>
        <v>34.884</v>
      </c>
      <c r="M97" s="422">
        <f t="shared" si="48"/>
        <v>34.884</v>
      </c>
      <c r="N97" s="422"/>
      <c r="O97" s="422">
        <f t="shared" si="49"/>
        <v>34.884</v>
      </c>
      <c r="P97" s="439">
        <f t="shared" si="50"/>
        <v>40.176000000000002</v>
      </c>
      <c r="Q97" s="439">
        <f t="shared" si="51"/>
        <v>45.234000000000002</v>
      </c>
      <c r="R97" s="439">
        <f t="shared" si="52"/>
        <v>48.275999999999996</v>
      </c>
      <c r="S97" s="439">
        <f t="shared" si="53"/>
        <v>36.948000000000008</v>
      </c>
      <c r="T97" s="439">
        <f t="shared" si="54"/>
        <v>34.884</v>
      </c>
      <c r="U97" s="439">
        <f t="shared" si="44"/>
        <v>34.884</v>
      </c>
      <c r="V97" s="422">
        <f t="shared" si="55"/>
        <v>34.884</v>
      </c>
    </row>
    <row r="98" spans="1:22">
      <c r="A98" s="425">
        <v>251</v>
      </c>
      <c r="B98" s="425">
        <v>92</v>
      </c>
      <c r="C98" s="425" t="s">
        <v>334</v>
      </c>
      <c r="D98" s="422">
        <f t="shared" si="35"/>
        <v>37.475999999999999</v>
      </c>
      <c r="E98" s="438">
        <v>52.271999999999998</v>
      </c>
      <c r="F98" s="438">
        <v>44.207999999999998</v>
      </c>
      <c r="G98" s="438">
        <v>37.800000000000004</v>
      </c>
      <c r="H98" s="438">
        <v>37.475999999999999</v>
      </c>
      <c r="I98" s="438">
        <v>39.311999999999998</v>
      </c>
      <c r="J98" s="421">
        <f t="shared" si="36"/>
        <v>39.311999999999998</v>
      </c>
      <c r="K98" s="421">
        <f t="shared" si="41"/>
        <v>39.311999999999998</v>
      </c>
      <c r="L98" s="422">
        <f t="shared" si="37"/>
        <v>39.311999999999998</v>
      </c>
      <c r="M98" s="422">
        <f t="shared" si="48"/>
        <v>39.311999999999998</v>
      </c>
      <c r="N98" s="422"/>
      <c r="O98" s="422">
        <f t="shared" si="49"/>
        <v>39.311999999999998</v>
      </c>
      <c r="P98" s="439">
        <f t="shared" si="50"/>
        <v>52.271999999999998</v>
      </c>
      <c r="Q98" s="439">
        <f t="shared" si="51"/>
        <v>48.239999999999995</v>
      </c>
      <c r="R98" s="439">
        <f t="shared" si="52"/>
        <v>41.004000000000005</v>
      </c>
      <c r="S98" s="439">
        <f t="shared" si="53"/>
        <v>38.753999999999998</v>
      </c>
      <c r="T98" s="439">
        <f t="shared" si="54"/>
        <v>39.311999999999998</v>
      </c>
      <c r="U98" s="439">
        <f t="shared" si="44"/>
        <v>39.311999999999998</v>
      </c>
      <c r="V98" s="422">
        <f t="shared" si="55"/>
        <v>39.311999999999998</v>
      </c>
    </row>
    <row r="99" spans="1:22">
      <c r="A99" s="425">
        <v>101</v>
      </c>
      <c r="B99" s="425">
        <v>93</v>
      </c>
      <c r="C99" s="425" t="s">
        <v>335</v>
      </c>
      <c r="D99" s="422">
        <f t="shared" si="35"/>
        <v>111.16799999999999</v>
      </c>
      <c r="E99" s="438">
        <v>118.29600000000001</v>
      </c>
      <c r="F99" s="438">
        <v>141.15600000000001</v>
      </c>
      <c r="G99" s="438">
        <v>129.52799999999999</v>
      </c>
      <c r="H99" s="438">
        <v>111.16799999999999</v>
      </c>
      <c r="I99" s="438">
        <v>98.712000000000003</v>
      </c>
      <c r="J99" s="421">
        <f t="shared" si="36"/>
        <v>98.712000000000003</v>
      </c>
      <c r="K99" s="421">
        <f t="shared" si="41"/>
        <v>98.712000000000003</v>
      </c>
      <c r="L99" s="422">
        <f t="shared" si="37"/>
        <v>98.712000000000003</v>
      </c>
      <c r="M99" s="422">
        <f t="shared" si="48"/>
        <v>98.712000000000003</v>
      </c>
      <c r="N99" s="422"/>
      <c r="O99" s="422">
        <f t="shared" si="49"/>
        <v>98.712000000000003</v>
      </c>
      <c r="P99" s="439">
        <f t="shared" si="50"/>
        <v>118.29600000000001</v>
      </c>
      <c r="Q99" s="439">
        <f t="shared" si="51"/>
        <v>129.726</v>
      </c>
      <c r="R99" s="439">
        <f t="shared" si="52"/>
        <v>135.34199999999998</v>
      </c>
      <c r="S99" s="439">
        <f t="shared" si="53"/>
        <v>105.92399999999999</v>
      </c>
      <c r="T99" s="439">
        <f t="shared" si="54"/>
        <v>98.712000000000003</v>
      </c>
      <c r="U99" s="439">
        <f t="shared" si="44"/>
        <v>98.712000000000003</v>
      </c>
      <c r="V99" s="422">
        <f t="shared" si="55"/>
        <v>98.712000000000003</v>
      </c>
    </row>
    <row r="100" spans="1:22">
      <c r="A100" s="425">
        <v>202</v>
      </c>
      <c r="B100" s="425">
        <v>94</v>
      </c>
      <c r="C100" s="425" t="s">
        <v>336</v>
      </c>
      <c r="D100" s="422">
        <f t="shared" si="35"/>
        <v>4.1040000000000001</v>
      </c>
      <c r="E100" s="438">
        <v>33.659999999999997</v>
      </c>
      <c r="F100" s="438">
        <v>20.52</v>
      </c>
      <c r="G100" s="438">
        <v>19.332000000000001</v>
      </c>
      <c r="H100" s="438">
        <v>4.1040000000000001</v>
      </c>
      <c r="I100" s="438">
        <v>1.512</v>
      </c>
      <c r="J100" s="421">
        <f t="shared" si="36"/>
        <v>1.512</v>
      </c>
      <c r="K100" s="421">
        <f t="shared" si="41"/>
        <v>1.512</v>
      </c>
      <c r="L100" s="422">
        <f t="shared" si="37"/>
        <v>1.512</v>
      </c>
      <c r="M100" s="422">
        <f t="shared" si="48"/>
        <v>1.512</v>
      </c>
      <c r="N100" s="422"/>
      <c r="O100" s="422">
        <f t="shared" si="49"/>
        <v>1.512</v>
      </c>
      <c r="P100" s="439">
        <f t="shared" si="50"/>
        <v>33.659999999999997</v>
      </c>
      <c r="Q100" s="439">
        <f t="shared" si="51"/>
        <v>27.089999999999996</v>
      </c>
      <c r="R100" s="439">
        <f t="shared" si="52"/>
        <v>19.926000000000002</v>
      </c>
      <c r="S100" s="439">
        <f t="shared" si="53"/>
        <v>4.9140000000000006</v>
      </c>
      <c r="T100" s="439">
        <f t="shared" si="54"/>
        <v>1.512</v>
      </c>
      <c r="U100" s="439">
        <f t="shared" si="44"/>
        <v>1.512</v>
      </c>
      <c r="V100" s="422">
        <f t="shared" si="55"/>
        <v>1.512</v>
      </c>
    </row>
    <row r="101" spans="1:22">
      <c r="A101" s="425">
        <v>365</v>
      </c>
      <c r="B101" s="425">
        <v>95</v>
      </c>
      <c r="C101" s="425" t="s">
        <v>337</v>
      </c>
      <c r="D101" s="422">
        <f t="shared" si="35"/>
        <v>0</v>
      </c>
      <c r="E101" s="438">
        <v>3.6000000000000004E-2</v>
      </c>
      <c r="F101" s="438"/>
      <c r="G101" s="438">
        <v>0.216</v>
      </c>
      <c r="H101" s="438"/>
      <c r="I101" s="438">
        <v>0.64800000000000002</v>
      </c>
      <c r="J101" s="421">
        <f t="shared" si="36"/>
        <v>0.64800000000000002</v>
      </c>
      <c r="K101" s="421">
        <f t="shared" si="41"/>
        <v>0.64800000000000002</v>
      </c>
      <c r="L101" s="422">
        <f t="shared" si="37"/>
        <v>0.64800000000000002</v>
      </c>
      <c r="M101" s="422">
        <f t="shared" si="48"/>
        <v>0.64800000000000002</v>
      </c>
      <c r="N101" s="422"/>
      <c r="O101" s="422">
        <f t="shared" si="49"/>
        <v>0.64800000000000002</v>
      </c>
      <c r="P101" s="439">
        <f t="shared" si="50"/>
        <v>3.6000000000000004E-2</v>
      </c>
      <c r="Q101" s="439">
        <f t="shared" si="51"/>
        <v>3.6000000000000004E-2</v>
      </c>
      <c r="R101" s="439">
        <f t="shared" si="52"/>
        <v>0.216</v>
      </c>
      <c r="S101" s="439">
        <f t="shared" si="53"/>
        <v>0.5616000000000001</v>
      </c>
      <c r="T101" s="439">
        <f t="shared" si="54"/>
        <v>0.64800000000000002</v>
      </c>
      <c r="U101" s="439">
        <f t="shared" si="44"/>
        <v>0.64800000000000002</v>
      </c>
      <c r="V101" s="422">
        <f t="shared" si="55"/>
        <v>0.64800000000000002</v>
      </c>
    </row>
    <row r="102" spans="1:22">
      <c r="A102" s="425">
        <v>128</v>
      </c>
      <c r="B102" s="425">
        <v>96</v>
      </c>
      <c r="C102" s="425" t="s">
        <v>338</v>
      </c>
      <c r="D102" s="422">
        <f t="shared" si="35"/>
        <v>0.86399999999999999</v>
      </c>
      <c r="E102" s="438">
        <v>3.6000000000000004E-2</v>
      </c>
      <c r="F102" s="438">
        <v>0.25200000000000006</v>
      </c>
      <c r="G102" s="438">
        <v>1.2240000000000002</v>
      </c>
      <c r="H102" s="438">
        <v>0.86399999999999999</v>
      </c>
      <c r="I102" s="438">
        <v>7.2000000000000008E-2</v>
      </c>
      <c r="J102" s="421">
        <f t="shared" si="36"/>
        <v>7.2000000000000008E-2</v>
      </c>
      <c r="K102" s="421">
        <f t="shared" si="41"/>
        <v>7.2000000000000008E-2</v>
      </c>
      <c r="L102" s="422">
        <f t="shared" si="37"/>
        <v>7.2000000000000008E-2</v>
      </c>
      <c r="M102" s="422">
        <f t="shared" si="48"/>
        <v>7.2000000000000008E-2</v>
      </c>
      <c r="N102" s="422"/>
      <c r="O102" s="422">
        <f t="shared" si="49"/>
        <v>7.2000000000000008E-2</v>
      </c>
      <c r="P102" s="439">
        <f t="shared" si="50"/>
        <v>3.6000000000000004E-2</v>
      </c>
      <c r="Q102" s="439">
        <f t="shared" si="51"/>
        <v>0.14400000000000002</v>
      </c>
      <c r="R102" s="439">
        <f t="shared" si="52"/>
        <v>0.7380000000000001</v>
      </c>
      <c r="S102" s="439">
        <f t="shared" si="53"/>
        <v>0.39600000000000007</v>
      </c>
      <c r="T102" s="439">
        <f t="shared" si="54"/>
        <v>7.2000000000000008E-2</v>
      </c>
      <c r="U102" s="439">
        <f t="shared" si="44"/>
        <v>7.2000000000000008E-2</v>
      </c>
      <c r="V102" s="422">
        <f t="shared" si="55"/>
        <v>7.2000000000000008E-2</v>
      </c>
    </row>
    <row r="103" spans="1:22">
      <c r="A103" s="425">
        <v>15</v>
      </c>
      <c r="B103" s="425">
        <v>97</v>
      </c>
      <c r="C103" s="425" t="s">
        <v>339</v>
      </c>
      <c r="D103" s="422">
        <f t="shared" si="35"/>
        <v>140.79599999999999</v>
      </c>
      <c r="E103" s="438">
        <v>138.67200000000003</v>
      </c>
      <c r="F103" s="438">
        <v>128.66400000000002</v>
      </c>
      <c r="G103" s="438">
        <v>134.136</v>
      </c>
      <c r="H103" s="438">
        <v>140.79599999999999</v>
      </c>
      <c r="I103" s="438">
        <v>149.76000000000002</v>
      </c>
      <c r="J103" s="421">
        <f t="shared" si="36"/>
        <v>149.76000000000002</v>
      </c>
      <c r="K103" s="421">
        <f t="shared" si="41"/>
        <v>149.76000000000002</v>
      </c>
      <c r="L103" s="422">
        <f t="shared" si="37"/>
        <v>149.76000000000002</v>
      </c>
      <c r="M103" s="422">
        <f t="shared" si="48"/>
        <v>149.76000000000002</v>
      </c>
      <c r="N103" s="422"/>
      <c r="O103" s="422">
        <f t="shared" si="49"/>
        <v>149.76000000000002</v>
      </c>
      <c r="P103" s="439">
        <f t="shared" si="50"/>
        <v>138.67200000000003</v>
      </c>
      <c r="Q103" s="439">
        <f t="shared" si="51"/>
        <v>133.66800000000001</v>
      </c>
      <c r="R103" s="439">
        <f t="shared" si="52"/>
        <v>131.4</v>
      </c>
      <c r="S103" s="439">
        <f t="shared" si="53"/>
        <v>145.66200000000001</v>
      </c>
      <c r="T103" s="439">
        <f t="shared" si="54"/>
        <v>149.76000000000002</v>
      </c>
      <c r="U103" s="439">
        <f t="shared" si="44"/>
        <v>149.76000000000002</v>
      </c>
      <c r="V103" s="422">
        <f t="shared" si="55"/>
        <v>149.76000000000002</v>
      </c>
    </row>
    <row r="104" spans="1:22">
      <c r="A104" s="425">
        <v>102</v>
      </c>
      <c r="B104" s="425">
        <v>98</v>
      </c>
      <c r="C104" s="425" t="s">
        <v>340</v>
      </c>
      <c r="D104" s="422">
        <f t="shared" si="35"/>
        <v>78.804000000000002</v>
      </c>
      <c r="E104" s="438">
        <v>64.260000000000005</v>
      </c>
      <c r="F104" s="438">
        <v>68.076000000000008</v>
      </c>
      <c r="G104" s="438">
        <v>47.916000000000004</v>
      </c>
      <c r="H104" s="438">
        <v>78.804000000000002</v>
      </c>
      <c r="I104" s="438">
        <v>119.37599999999999</v>
      </c>
      <c r="J104" s="421">
        <f t="shared" si="36"/>
        <v>119.37599999999999</v>
      </c>
      <c r="K104" s="421">
        <f t="shared" si="41"/>
        <v>119.37599999999999</v>
      </c>
      <c r="L104" s="422">
        <f t="shared" si="37"/>
        <v>119.37599999999999</v>
      </c>
      <c r="M104" s="422">
        <f t="shared" si="48"/>
        <v>119.37599999999999</v>
      </c>
      <c r="N104" s="422"/>
      <c r="O104" s="422">
        <f t="shared" si="49"/>
        <v>119.37599999999999</v>
      </c>
      <c r="P104" s="439">
        <f t="shared" si="50"/>
        <v>64.260000000000005</v>
      </c>
      <c r="Q104" s="439">
        <f t="shared" si="51"/>
        <v>66.168000000000006</v>
      </c>
      <c r="R104" s="439">
        <f t="shared" si="52"/>
        <v>57.996000000000009</v>
      </c>
      <c r="S104" s="439">
        <f t="shared" si="53"/>
        <v>100.70399999999999</v>
      </c>
      <c r="T104" s="439">
        <f t="shared" si="54"/>
        <v>119.37599999999999</v>
      </c>
      <c r="U104" s="439">
        <f t="shared" si="44"/>
        <v>119.37599999999999</v>
      </c>
      <c r="V104" s="422">
        <f t="shared" si="55"/>
        <v>119.37599999999999</v>
      </c>
    </row>
    <row r="105" spans="1:22">
      <c r="D105" s="440">
        <f t="shared" si="35"/>
        <v>0</v>
      </c>
    </row>
  </sheetData>
  <sheetProtection sheet="1" objects="1" scenarios="1"/>
  <hyperlinks>
    <hyperlink ref="A4" r:id="rId1" display="https://sparenergi.dk/sites/default/files/2025-09/El- og FV-faktorer_v4.1.pdf" xr:uid="{AD1C7631-2600-4D5D-949A-8F16DF21991B}"/>
  </hyperlinks>
  <pageMargins left="0.7" right="0.7" top="0.75" bottom="0.75" header="0.3" footer="0.3"/>
  <pageSetup paperSize="9" orientation="portrait" r:id="rId2"/>
</worksheet>
</file>

<file path=docMetadata/LabelInfo.xml><?xml version="1.0" encoding="utf-8"?>
<clbl:labelList xmlns:clbl="http://schemas.microsoft.com/office/2020/mipLabelMetadata">
  <clbl:label id="{f5dbba49-ce06-496f-ac3e-0cf14361d934}" enabled="0" method="" siteId="{f5dbba49-ce06-496f-ac3e-0cf14361d9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9</vt:i4>
      </vt:variant>
    </vt:vector>
  </HeadingPairs>
  <TitlesOfParts>
    <vt:vector size="18" baseType="lpstr">
      <vt:lpstr>Indtastningsark</vt:lpstr>
      <vt:lpstr>BASIS-regneark</vt:lpstr>
      <vt:lpstr>BASIS-diagrammer</vt:lpstr>
      <vt:lpstr>Indtastningsark-X</vt:lpstr>
      <vt:lpstr>BASIS-X-regneark </vt:lpstr>
      <vt:lpstr>BASIS-X-diagrammer</vt:lpstr>
      <vt:lpstr>Graddage mv.</vt:lpstr>
      <vt:lpstr>CO2-el</vt:lpstr>
      <vt:lpstr>CO2-fjernvarme</vt:lpstr>
      <vt:lpstr>'BASIS-diagrammer'!Udskriftsområde</vt:lpstr>
      <vt:lpstr>'BASIS-regneark'!Udskriftsområde</vt:lpstr>
      <vt:lpstr>'BASIS-X-diagrammer'!Udskriftsområde</vt:lpstr>
      <vt:lpstr>'BASIS-X-regneark '!Udskriftsområde</vt:lpstr>
      <vt:lpstr>'Graddage mv.'!Udskriftsområde</vt:lpstr>
      <vt:lpstr>Indtastningsark!Udskriftsområde</vt:lpstr>
      <vt:lpstr>'Indtastningsark-X'!Udskriftsområde</vt:lpstr>
      <vt:lpstr>'BASIS-regneark'!Udskriftsområde_MI</vt:lpstr>
      <vt:lpstr>'BASIS-X-regneark '!Udskriftsområde_MI</vt:lpstr>
    </vt:vector>
  </TitlesOfParts>
  <Company>SBI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Basis</dc:title>
  <dc:subject>Grønt regnskab</dc:subject>
  <dc:creator>seniorforsker Ole Michael Jensen</dc:creator>
  <dc:description>Tilgængeligt på www.sbi.dk</dc:description>
  <cp:lastModifiedBy>Ole Michael Jensen</cp:lastModifiedBy>
  <cp:lastPrinted>2026-02-12T08:37:55Z</cp:lastPrinted>
  <dcterms:created xsi:type="dcterms:W3CDTF">1998-03-09T09:52:25Z</dcterms:created>
  <dcterms:modified xsi:type="dcterms:W3CDTF">2026-02-17T10:44:19Z</dcterms:modified>
</cp:coreProperties>
</file>